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85" tabRatio="945" firstSheet="10" activeTab="25"/>
  </bookViews>
  <sheets>
    <sheet name="ENERO 1" sheetId="1" r:id="rId1"/>
    <sheet name="ENERO 2" sheetId="2" r:id="rId2"/>
    <sheet name="FEBRERO" sheetId="3" r:id="rId3"/>
    <sheet name="FEBRERO 2" sheetId="4" r:id="rId4"/>
    <sheet name="MARZO 1" sheetId="5" r:id="rId5"/>
    <sheet name="MARZO 2" sheetId="6" r:id="rId6"/>
    <sheet name="ABRIL 1" sheetId="7" r:id="rId7"/>
    <sheet name="ABRIL 2" sheetId="8" r:id="rId8"/>
    <sheet name="MAYO 1" sheetId="9" r:id="rId9"/>
    <sheet name="MAYO 2" sheetId="10" r:id="rId10"/>
    <sheet name="JUNIO 1" sheetId="11" r:id="rId11"/>
    <sheet name="JUNIO 2" sheetId="12" r:id="rId12"/>
    <sheet name="JULIO 1" sheetId="13" r:id="rId13"/>
    <sheet name="JULIO 2" sheetId="14" r:id="rId14"/>
    <sheet name="AGOSTO 1" sheetId="15" r:id="rId15"/>
    <sheet name="AGOSTO 2" sheetId="16" r:id="rId16"/>
    <sheet name="SEPTIEMBRE 1" sheetId="17" r:id="rId17"/>
    <sheet name="SEPTIEMBRE 2" sheetId="18" r:id="rId18"/>
    <sheet name="OCTUBRE 1" sheetId="19" r:id="rId19"/>
    <sheet name="OCTUBRE 2" sheetId="20" r:id="rId20"/>
    <sheet name="NOVIEMBRE 1" sheetId="21" r:id="rId21"/>
    <sheet name="NOVIEMBRE 2" sheetId="22" r:id="rId22"/>
    <sheet name="DICIEMBRE 1" sheetId="23" r:id="rId23"/>
    <sheet name="DICIEMBRE 2" sheetId="24" r:id="rId24"/>
    <sheet name="AGUINALDO" sheetId="25" r:id="rId25"/>
    <sheet name="INCREMENTO" sheetId="26" r:id="rId26"/>
  </sheets>
  <externalReferences>
    <externalReference r:id="rId27"/>
  </externalReferences>
  <calcPr calcId="145621"/>
</workbook>
</file>

<file path=xl/calcChain.xml><?xml version="1.0" encoding="utf-8"?>
<calcChain xmlns="http://schemas.openxmlformats.org/spreadsheetml/2006/main">
  <c r="W17" i="24" l="1"/>
  <c r="V17" i="24"/>
  <c r="P17" i="24"/>
  <c r="O17" i="24"/>
  <c r="N17" i="24"/>
  <c r="M17" i="24"/>
  <c r="L17" i="24"/>
  <c r="K17" i="24"/>
  <c r="J17" i="24"/>
  <c r="I17" i="24"/>
  <c r="E17" i="24"/>
  <c r="Z16" i="24"/>
  <c r="Q16" i="24"/>
  <c r="H16" i="24"/>
  <c r="Z15" i="24"/>
  <c r="G15" i="24"/>
  <c r="Q15" i="24" s="1"/>
  <c r="F15" i="24"/>
  <c r="H15" i="24" s="1"/>
  <c r="G14" i="24"/>
  <c r="T14" i="24" s="1"/>
  <c r="F14" i="24"/>
  <c r="Y13" i="24"/>
  <c r="Y17" i="24" s="1"/>
  <c r="X13" i="24"/>
  <c r="S13" i="24"/>
  <c r="G13" i="24"/>
  <c r="U13" i="24" s="1"/>
  <c r="F13" i="24"/>
  <c r="S12" i="24"/>
  <c r="G12" i="24"/>
  <c r="U12" i="24" s="1"/>
  <c r="F12" i="24"/>
  <c r="G11" i="24"/>
  <c r="T11" i="24" s="1"/>
  <c r="F11" i="24"/>
  <c r="G10" i="24"/>
  <c r="T10" i="24" s="1"/>
  <c r="F10" i="24"/>
  <c r="X9" i="24"/>
  <c r="S9" i="24"/>
  <c r="G9" i="24"/>
  <c r="U9" i="24" s="1"/>
  <c r="F9" i="24"/>
  <c r="G8" i="24"/>
  <c r="U8" i="24" s="1"/>
  <c r="F8" i="24"/>
  <c r="G7" i="24"/>
  <c r="Q7" i="24" s="1"/>
  <c r="F7" i="24"/>
  <c r="H7" i="24" s="1"/>
  <c r="G6" i="24"/>
  <c r="Q6" i="24" s="1"/>
  <c r="F6" i="24"/>
  <c r="H6" i="24" s="1"/>
  <c r="G5" i="24"/>
  <c r="Q5" i="24" s="1"/>
  <c r="F5" i="24"/>
  <c r="H5" i="24" s="1"/>
  <c r="G4" i="24"/>
  <c r="F4" i="24"/>
  <c r="AC17" i="23"/>
  <c r="AB17" i="23"/>
  <c r="AA17" i="23"/>
  <c r="Z17" i="23"/>
  <c r="Y17" i="23"/>
  <c r="X17" i="23"/>
  <c r="W17" i="23"/>
  <c r="V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AD16" i="23"/>
  <c r="U16" i="23"/>
  <c r="AE16" i="23" s="1"/>
  <c r="AD15" i="23"/>
  <c r="U15" i="23"/>
  <c r="AE15" i="23" s="1"/>
  <c r="AD14" i="23"/>
  <c r="U14" i="23"/>
  <c r="AE14" i="23" s="1"/>
  <c r="AD13" i="23"/>
  <c r="U13" i="23"/>
  <c r="AE13" i="23" s="1"/>
  <c r="AD12" i="23"/>
  <c r="U12" i="23"/>
  <c r="AE12" i="23" s="1"/>
  <c r="AD11" i="23"/>
  <c r="U11" i="23"/>
  <c r="AE11" i="23" s="1"/>
  <c r="AD10" i="23"/>
  <c r="U10" i="23"/>
  <c r="AE10" i="23" s="1"/>
  <c r="AD9" i="23"/>
  <c r="U9" i="23"/>
  <c r="AE9" i="23" s="1"/>
  <c r="AD8" i="23"/>
  <c r="U8" i="23"/>
  <c r="AE8" i="23" s="1"/>
  <c r="AD7" i="23"/>
  <c r="U7" i="23"/>
  <c r="AE7" i="23" s="1"/>
  <c r="AD6" i="23"/>
  <c r="U6" i="23"/>
  <c r="AE6" i="23" s="1"/>
  <c r="AD5" i="23"/>
  <c r="U5" i="23"/>
  <c r="AE5" i="23" s="1"/>
  <c r="AD4" i="23"/>
  <c r="AD17" i="23" s="1"/>
  <c r="U4" i="23"/>
  <c r="U17" i="23" s="1"/>
  <c r="Q17" i="25"/>
  <c r="P17" i="25"/>
  <c r="N17" i="25"/>
  <c r="M17" i="25"/>
  <c r="L17" i="25"/>
  <c r="K17" i="25"/>
  <c r="J17" i="25"/>
  <c r="I17" i="25"/>
  <c r="H17" i="25"/>
  <c r="G17" i="25"/>
  <c r="F17" i="25"/>
  <c r="E17" i="25"/>
  <c r="R16" i="25"/>
  <c r="S16" i="25" s="1"/>
  <c r="O15" i="25"/>
  <c r="R15" i="25" s="1"/>
  <c r="S15" i="25" s="1"/>
  <c r="O14" i="25"/>
  <c r="R14" i="25" s="1"/>
  <c r="S14" i="25" s="1"/>
  <c r="O13" i="25"/>
  <c r="R13" i="25" s="1"/>
  <c r="S13" i="25" s="1"/>
  <c r="O12" i="25"/>
  <c r="R12" i="25" s="1"/>
  <c r="S12" i="25" s="1"/>
  <c r="O11" i="25"/>
  <c r="R11" i="25" s="1"/>
  <c r="S11" i="25" s="1"/>
  <c r="O10" i="25"/>
  <c r="R10" i="25" s="1"/>
  <c r="S10" i="25" s="1"/>
  <c r="O9" i="25"/>
  <c r="R9" i="25" s="1"/>
  <c r="S9" i="25" s="1"/>
  <c r="O8" i="25"/>
  <c r="R8" i="25" s="1"/>
  <c r="S8" i="25" s="1"/>
  <c r="O7" i="25"/>
  <c r="R7" i="25" s="1"/>
  <c r="S7" i="25" s="1"/>
  <c r="O6" i="25"/>
  <c r="R6" i="25" s="1"/>
  <c r="S6" i="25" s="1"/>
  <c r="O5" i="25"/>
  <c r="R5" i="25" s="1"/>
  <c r="S5" i="25" s="1"/>
  <c r="O4" i="25"/>
  <c r="O17" i="25" s="1"/>
  <c r="U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T11" i="26"/>
  <c r="S11" i="26"/>
  <c r="Q11" i="26"/>
  <c r="T10" i="26"/>
  <c r="S10" i="26"/>
  <c r="V10" i="26" s="1"/>
  <c r="R10" i="26"/>
  <c r="Q10" i="26"/>
  <c r="W10" i="26" s="1"/>
  <c r="T9" i="26"/>
  <c r="S9" i="26"/>
  <c r="V9" i="26" s="1"/>
  <c r="R9" i="26"/>
  <c r="Q9" i="26"/>
  <c r="W9" i="26" s="1"/>
  <c r="T8" i="26"/>
  <c r="S8" i="26"/>
  <c r="V8" i="26" s="1"/>
  <c r="R8" i="26"/>
  <c r="Q8" i="26"/>
  <c r="W8" i="26" s="1"/>
  <c r="R7" i="26"/>
  <c r="V7" i="26" s="1"/>
  <c r="Q7" i="26"/>
  <c r="T6" i="26"/>
  <c r="S6" i="26"/>
  <c r="R6" i="26"/>
  <c r="Q6" i="26"/>
  <c r="T5" i="26"/>
  <c r="S5" i="26"/>
  <c r="R5" i="26"/>
  <c r="R12" i="26" s="1"/>
  <c r="Q5" i="26"/>
  <c r="T4" i="26"/>
  <c r="S4" i="26"/>
  <c r="S12" i="26" s="1"/>
  <c r="Q4" i="26"/>
  <c r="T17" i="22"/>
  <c r="S17" i="22"/>
  <c r="M17" i="22"/>
  <c r="L17" i="22"/>
  <c r="K17" i="22"/>
  <c r="J17" i="22"/>
  <c r="I17" i="22"/>
  <c r="H17" i="22"/>
  <c r="G17" i="22"/>
  <c r="F17" i="22"/>
  <c r="W16" i="22"/>
  <c r="E16" i="22"/>
  <c r="N16" i="22" s="1"/>
  <c r="X16" i="22" s="1"/>
  <c r="W15" i="22"/>
  <c r="N15" i="22"/>
  <c r="X15" i="22" s="1"/>
  <c r="R14" i="22"/>
  <c r="Q14" i="22"/>
  <c r="W14" i="22" s="1"/>
  <c r="N14" i="22"/>
  <c r="V13" i="22"/>
  <c r="V17" i="22" s="1"/>
  <c r="U13" i="22"/>
  <c r="R13" i="22"/>
  <c r="Q13" i="22"/>
  <c r="P13" i="22"/>
  <c r="O13" i="22"/>
  <c r="N13" i="22"/>
  <c r="R12" i="22"/>
  <c r="Q12" i="22"/>
  <c r="P12" i="22"/>
  <c r="O12" i="22"/>
  <c r="W12" i="22" s="1"/>
  <c r="N12" i="22"/>
  <c r="R11" i="22"/>
  <c r="Q11" i="22"/>
  <c r="O11" i="22"/>
  <c r="N11" i="22"/>
  <c r="R10" i="22"/>
  <c r="Q10" i="22"/>
  <c r="O10" i="22"/>
  <c r="N10" i="22"/>
  <c r="U9" i="22"/>
  <c r="U17" i="22" s="1"/>
  <c r="R9" i="22"/>
  <c r="Q9" i="22"/>
  <c r="P9" i="22"/>
  <c r="P17" i="22" s="1"/>
  <c r="O9" i="22"/>
  <c r="O17" i="22" s="1"/>
  <c r="N9" i="22"/>
  <c r="R8" i="22"/>
  <c r="Q8" i="22"/>
  <c r="N8" i="22"/>
  <c r="R7" i="22"/>
  <c r="W7" i="22" s="1"/>
  <c r="N7" i="22"/>
  <c r="R6" i="22"/>
  <c r="W6" i="22" s="1"/>
  <c r="N6" i="22"/>
  <c r="R5" i="22"/>
  <c r="W5" i="22" s="1"/>
  <c r="N5" i="22"/>
  <c r="R4" i="22"/>
  <c r="N4" i="22"/>
  <c r="N17" i="22" s="1"/>
  <c r="Y17" i="21"/>
  <c r="X17" i="21"/>
  <c r="W17" i="21"/>
  <c r="V17" i="21"/>
  <c r="M17" i="21"/>
  <c r="L17" i="21"/>
  <c r="J17" i="21"/>
  <c r="I17" i="21"/>
  <c r="H17" i="21"/>
  <c r="G17" i="21"/>
  <c r="F17" i="21"/>
  <c r="AB16" i="21"/>
  <c r="E16" i="21"/>
  <c r="E17" i="21" s="1"/>
  <c r="AB15" i="21"/>
  <c r="Q15" i="21"/>
  <c r="U14" i="21"/>
  <c r="T14" i="21"/>
  <c r="P14" i="21"/>
  <c r="O14" i="21"/>
  <c r="N14" i="21"/>
  <c r="K14" i="21"/>
  <c r="AA13" i="21"/>
  <c r="AA17" i="21" s="1"/>
  <c r="Z13" i="21"/>
  <c r="U13" i="21"/>
  <c r="T13" i="21"/>
  <c r="S13" i="21"/>
  <c r="R13" i="21"/>
  <c r="P13" i="21"/>
  <c r="O13" i="21"/>
  <c r="N13" i="21"/>
  <c r="K13" i="21"/>
  <c r="U12" i="21"/>
  <c r="T12" i="21"/>
  <c r="S12" i="21"/>
  <c r="R12" i="21"/>
  <c r="P12" i="21"/>
  <c r="O12" i="21"/>
  <c r="N12" i="21"/>
  <c r="K12" i="21"/>
  <c r="U11" i="21"/>
  <c r="T11" i="21"/>
  <c r="R11" i="21"/>
  <c r="P11" i="21"/>
  <c r="O11" i="21"/>
  <c r="N11" i="21"/>
  <c r="K11" i="21"/>
  <c r="Q11" i="21" s="1"/>
  <c r="U10" i="21"/>
  <c r="T10" i="21"/>
  <c r="AB10" i="21" s="1"/>
  <c r="R10" i="21"/>
  <c r="P10" i="21"/>
  <c r="O10" i="21"/>
  <c r="N10" i="21"/>
  <c r="K10" i="21"/>
  <c r="Z9" i="21"/>
  <c r="Z17" i="21" s="1"/>
  <c r="U9" i="21"/>
  <c r="T9" i="21"/>
  <c r="S9" i="21"/>
  <c r="R9" i="21"/>
  <c r="R17" i="21" s="1"/>
  <c r="P9" i="21"/>
  <c r="O9" i="21"/>
  <c r="N9" i="21"/>
  <c r="K9" i="21"/>
  <c r="K17" i="21" s="1"/>
  <c r="U8" i="21"/>
  <c r="T8" i="21"/>
  <c r="AB8" i="21" s="1"/>
  <c r="P8" i="21"/>
  <c r="O8" i="21"/>
  <c r="N8" i="21"/>
  <c r="AB7" i="21"/>
  <c r="U7" i="21"/>
  <c r="P7" i="21"/>
  <c r="P17" i="21" s="1"/>
  <c r="O7" i="21"/>
  <c r="N7" i="21"/>
  <c r="N17" i="21" s="1"/>
  <c r="U6" i="21"/>
  <c r="AB6" i="21" s="1"/>
  <c r="Q6" i="21"/>
  <c r="U5" i="21"/>
  <c r="AB5" i="21" s="1"/>
  <c r="Q5" i="21"/>
  <c r="U4" i="21"/>
  <c r="Q4" i="21"/>
  <c r="AF17" i="20"/>
  <c r="T17" i="20"/>
  <c r="S17" i="20"/>
  <c r="M17" i="20"/>
  <c r="L17" i="20"/>
  <c r="K17" i="20"/>
  <c r="J17" i="20"/>
  <c r="I17" i="20"/>
  <c r="H17" i="20"/>
  <c r="G17" i="20"/>
  <c r="F17" i="20"/>
  <c r="W16" i="20"/>
  <c r="E16" i="20"/>
  <c r="E17" i="20" s="1"/>
  <c r="AD15" i="20"/>
  <c r="AC15" i="20"/>
  <c r="AB15" i="20"/>
  <c r="AA15" i="20"/>
  <c r="AE15" i="20" s="1"/>
  <c r="W15" i="20"/>
  <c r="N15" i="20"/>
  <c r="X15" i="20" s="1"/>
  <c r="AD14" i="20"/>
  <c r="AC14" i="20"/>
  <c r="AB14" i="20"/>
  <c r="AA14" i="20"/>
  <c r="AE14" i="20" s="1"/>
  <c r="AG14" i="20" s="1"/>
  <c r="AH14" i="20" s="1"/>
  <c r="R14" i="20"/>
  <c r="Q14" i="20"/>
  <c r="W14" i="20" s="1"/>
  <c r="N14" i="20"/>
  <c r="AD13" i="20"/>
  <c r="AC13" i="20"/>
  <c r="AB13" i="20"/>
  <c r="AA13" i="20"/>
  <c r="V13" i="20"/>
  <c r="V17" i="20" s="1"/>
  <c r="U13" i="20"/>
  <c r="R13" i="20"/>
  <c r="Q13" i="20"/>
  <c r="P13" i="20"/>
  <c r="O13" i="20"/>
  <c r="N13" i="20"/>
  <c r="AD12" i="20"/>
  <c r="AC12" i="20"/>
  <c r="AB12" i="20"/>
  <c r="AA12" i="20"/>
  <c r="AE12" i="20" s="1"/>
  <c r="AG12" i="20" s="1"/>
  <c r="AH12" i="20" s="1"/>
  <c r="R12" i="20"/>
  <c r="Q12" i="20"/>
  <c r="P12" i="20"/>
  <c r="O12" i="20"/>
  <c r="W12" i="20" s="1"/>
  <c r="N12" i="20"/>
  <c r="AD11" i="20"/>
  <c r="AC11" i="20"/>
  <c r="AB11" i="20"/>
  <c r="AA11" i="20"/>
  <c r="R11" i="20"/>
  <c r="Q11" i="20"/>
  <c r="O11" i="20"/>
  <c r="N11" i="20"/>
  <c r="AD10" i="20"/>
  <c r="AC10" i="20"/>
  <c r="AB10" i="20"/>
  <c r="AA10" i="20"/>
  <c r="R10" i="20"/>
  <c r="Q10" i="20"/>
  <c r="O10" i="20"/>
  <c r="W10" i="20" s="1"/>
  <c r="X10" i="20" s="1"/>
  <c r="N10" i="20"/>
  <c r="AD9" i="20"/>
  <c r="AC9" i="20"/>
  <c r="AB9" i="20"/>
  <c r="AA9" i="20"/>
  <c r="U9" i="20"/>
  <c r="U17" i="20" s="1"/>
  <c r="R9" i="20"/>
  <c r="Q9" i="20"/>
  <c r="P9" i="20"/>
  <c r="O9" i="20"/>
  <c r="O17" i="20" s="1"/>
  <c r="N9" i="20"/>
  <c r="AD8" i="20"/>
  <c r="AC8" i="20"/>
  <c r="AB8" i="20"/>
  <c r="AA8" i="20"/>
  <c r="R8" i="20"/>
  <c r="Q8" i="20"/>
  <c r="N8" i="20"/>
  <c r="AD7" i="20"/>
  <c r="AD17" i="20" s="1"/>
  <c r="AC7" i="20"/>
  <c r="AB7" i="20"/>
  <c r="AA7" i="20"/>
  <c r="AE7" i="20" s="1"/>
  <c r="R7" i="20"/>
  <c r="W7" i="20" s="1"/>
  <c r="N7" i="20"/>
  <c r="AC6" i="20"/>
  <c r="AB6" i="20"/>
  <c r="AE6" i="20" s="1"/>
  <c r="AA6" i="20"/>
  <c r="R6" i="20"/>
  <c r="W6" i="20" s="1"/>
  <c r="X6" i="20" s="1"/>
  <c r="N6" i="20"/>
  <c r="AC5" i="20"/>
  <c r="AB5" i="20"/>
  <c r="AA5" i="20"/>
  <c r="R5" i="20"/>
  <c r="W5" i="20" s="1"/>
  <c r="N5" i="20"/>
  <c r="AG4" i="20"/>
  <c r="AC4" i="20"/>
  <c r="AC17" i="20" s="1"/>
  <c r="AB4" i="20"/>
  <c r="AB17" i="20" s="1"/>
  <c r="AA4" i="20"/>
  <c r="AE4" i="20" s="1"/>
  <c r="AE17" i="20" s="1"/>
  <c r="R4" i="20"/>
  <c r="N4" i="20"/>
  <c r="V18" i="19"/>
  <c r="U18" i="19"/>
  <c r="M18" i="19"/>
  <c r="L18" i="19"/>
  <c r="Y17" i="19"/>
  <c r="E17" i="19"/>
  <c r="P17" i="19" s="1"/>
  <c r="Z17" i="19" s="1"/>
  <c r="Y16" i="19"/>
  <c r="P16" i="19"/>
  <c r="Z16" i="19" s="1"/>
  <c r="T15" i="19"/>
  <c r="S15" i="19"/>
  <c r="Y15" i="19" s="1"/>
  <c r="O15" i="19"/>
  <c r="N15" i="19"/>
  <c r="P15" i="19" s="1"/>
  <c r="Z15" i="19" s="1"/>
  <c r="K15" i="19"/>
  <c r="X14" i="19"/>
  <c r="X18" i="19" s="1"/>
  <c r="W14" i="19"/>
  <c r="T14" i="19"/>
  <c r="S14" i="19"/>
  <c r="R14" i="19"/>
  <c r="Q14" i="19"/>
  <c r="O14" i="19"/>
  <c r="N14" i="19"/>
  <c r="K14" i="19"/>
  <c r="T13" i="19"/>
  <c r="S13" i="19"/>
  <c r="R13" i="19"/>
  <c r="Q13" i="19"/>
  <c r="Y13" i="19" s="1"/>
  <c r="O13" i="19"/>
  <c r="N13" i="19"/>
  <c r="P13" i="19" s="1"/>
  <c r="Z13" i="19" s="1"/>
  <c r="K13" i="19"/>
  <c r="T12" i="19"/>
  <c r="S12" i="19"/>
  <c r="Q12" i="19"/>
  <c r="Y12" i="19" s="1"/>
  <c r="O12" i="19"/>
  <c r="K12" i="19"/>
  <c r="P12" i="19" s="1"/>
  <c r="Z12" i="19" s="1"/>
  <c r="T11" i="19"/>
  <c r="S11" i="19"/>
  <c r="Q11" i="19"/>
  <c r="O11" i="19"/>
  <c r="N11" i="19"/>
  <c r="K11" i="19"/>
  <c r="P11" i="19" s="1"/>
  <c r="W10" i="19"/>
  <c r="W18" i="19" s="1"/>
  <c r="T10" i="19"/>
  <c r="S10" i="19"/>
  <c r="R10" i="19"/>
  <c r="R18" i="19" s="1"/>
  <c r="Q10" i="19"/>
  <c r="O10" i="19"/>
  <c r="N10" i="19"/>
  <c r="K10" i="19"/>
  <c r="T9" i="19"/>
  <c r="S9" i="19"/>
  <c r="Y9" i="19" s="1"/>
  <c r="O9" i="19"/>
  <c r="N9" i="19"/>
  <c r="N18" i="19" s="1"/>
  <c r="O8" i="19"/>
  <c r="K8" i="19"/>
  <c r="K18" i="19" s="1"/>
  <c r="J8" i="19"/>
  <c r="J18" i="19" s="1"/>
  <c r="I8" i="19"/>
  <c r="I18" i="19" s="1"/>
  <c r="H8" i="19"/>
  <c r="H18" i="19" s="1"/>
  <c r="G8" i="19"/>
  <c r="G18" i="19" s="1"/>
  <c r="F8" i="19"/>
  <c r="F18" i="19" s="1"/>
  <c r="E8" i="19"/>
  <c r="T8" i="19" s="1"/>
  <c r="Y8" i="19" s="1"/>
  <c r="T7" i="19"/>
  <c r="Y7" i="19" s="1"/>
  <c r="O7" i="19"/>
  <c r="O18" i="19" s="1"/>
  <c r="T6" i="19"/>
  <c r="Y6" i="19" s="1"/>
  <c r="P6" i="19"/>
  <c r="T5" i="19"/>
  <c r="Y5" i="19" s="1"/>
  <c r="P5" i="19"/>
  <c r="T4" i="19"/>
  <c r="P4" i="19"/>
  <c r="U19" i="18"/>
  <c r="T19" i="18"/>
  <c r="M19" i="18"/>
  <c r="L19" i="18"/>
  <c r="K19" i="18"/>
  <c r="J19" i="18"/>
  <c r="I19" i="18"/>
  <c r="H19" i="18"/>
  <c r="G19" i="18"/>
  <c r="F19" i="18"/>
  <c r="X18" i="18"/>
  <c r="E18" i="18"/>
  <c r="O18" i="18" s="1"/>
  <c r="X17" i="18"/>
  <c r="O17" i="18"/>
  <c r="S16" i="18"/>
  <c r="R16" i="18"/>
  <c r="N16" i="18"/>
  <c r="O16" i="18" s="1"/>
  <c r="W15" i="18"/>
  <c r="W19" i="18" s="1"/>
  <c r="V15" i="18"/>
  <c r="S15" i="18"/>
  <c r="R15" i="18"/>
  <c r="Q15" i="18"/>
  <c r="P15" i="18"/>
  <c r="N15" i="18"/>
  <c r="O15" i="18" s="1"/>
  <c r="S14" i="18"/>
  <c r="R14" i="18"/>
  <c r="Q14" i="18"/>
  <c r="P14" i="18"/>
  <c r="N14" i="18"/>
  <c r="O14" i="18" s="1"/>
  <c r="S13" i="18"/>
  <c r="R13" i="18"/>
  <c r="P13" i="18"/>
  <c r="N13" i="18"/>
  <c r="O13" i="18" s="1"/>
  <c r="S12" i="18"/>
  <c r="R12" i="18"/>
  <c r="Q12" i="18"/>
  <c r="P12" i="18"/>
  <c r="N12" i="18"/>
  <c r="O12" i="18" s="1"/>
  <c r="S11" i="18"/>
  <c r="R11" i="18"/>
  <c r="P11" i="18"/>
  <c r="N11" i="18"/>
  <c r="O11" i="18" s="1"/>
  <c r="V10" i="18"/>
  <c r="V19" i="18" s="1"/>
  <c r="S10" i="18"/>
  <c r="R10" i="18"/>
  <c r="Q10" i="18"/>
  <c r="P10" i="18"/>
  <c r="N10" i="18"/>
  <c r="O10" i="18" s="1"/>
  <c r="S9" i="18"/>
  <c r="R9" i="18"/>
  <c r="N9" i="18"/>
  <c r="O9" i="18" s="1"/>
  <c r="S8" i="18"/>
  <c r="X8" i="18" s="1"/>
  <c r="N8" i="18"/>
  <c r="O8" i="18" s="1"/>
  <c r="S7" i="18"/>
  <c r="X7" i="18" s="1"/>
  <c r="N7" i="18"/>
  <c r="O7" i="18" s="1"/>
  <c r="S6" i="18"/>
  <c r="X6" i="18" s="1"/>
  <c r="N6" i="18"/>
  <c r="O6" i="18" s="1"/>
  <c r="S5" i="18"/>
  <c r="X5" i="18" s="1"/>
  <c r="N5" i="18"/>
  <c r="O5" i="18" s="1"/>
  <c r="S4" i="18"/>
  <c r="N4" i="18"/>
  <c r="N19" i="18" s="1"/>
  <c r="X19" i="17"/>
  <c r="W19" i="17"/>
  <c r="V19" i="17"/>
  <c r="U19" i="17"/>
  <c r="M19" i="17"/>
  <c r="L19" i="17"/>
  <c r="J19" i="17"/>
  <c r="I19" i="17"/>
  <c r="H19" i="17"/>
  <c r="G19" i="17"/>
  <c r="F19" i="17"/>
  <c r="AA18" i="17"/>
  <c r="E18" i="17"/>
  <c r="P18" i="17" s="1"/>
  <c r="AB18" i="17" s="1"/>
  <c r="AA17" i="17"/>
  <c r="P17" i="17"/>
  <c r="AB17" i="17" s="1"/>
  <c r="T16" i="17"/>
  <c r="S16" i="17"/>
  <c r="AA16" i="17" s="1"/>
  <c r="O16" i="17"/>
  <c r="N16" i="17"/>
  <c r="K16" i="17"/>
  <c r="Z15" i="17"/>
  <c r="Z19" i="17" s="1"/>
  <c r="Y15" i="17"/>
  <c r="T15" i="17"/>
  <c r="S15" i="17"/>
  <c r="R15" i="17"/>
  <c r="Q15" i="17"/>
  <c r="O15" i="17"/>
  <c r="N15" i="17"/>
  <c r="K15" i="17"/>
  <c r="T14" i="17"/>
  <c r="S14" i="17"/>
  <c r="R14" i="17"/>
  <c r="Q14" i="17"/>
  <c r="AA14" i="17" s="1"/>
  <c r="O14" i="17"/>
  <c r="N14" i="17"/>
  <c r="P14" i="17" s="1"/>
  <c r="AB14" i="17" s="1"/>
  <c r="K14" i="17"/>
  <c r="T13" i="17"/>
  <c r="S13" i="17"/>
  <c r="Q13" i="17"/>
  <c r="AA13" i="17" s="1"/>
  <c r="O13" i="17"/>
  <c r="K13" i="17"/>
  <c r="P13" i="17" s="1"/>
  <c r="AB13" i="17" s="1"/>
  <c r="T12" i="17"/>
  <c r="S12" i="17"/>
  <c r="R12" i="17"/>
  <c r="Q12" i="17"/>
  <c r="AA12" i="17" s="1"/>
  <c r="O12" i="17"/>
  <c r="N12" i="17"/>
  <c r="P12" i="17" s="1"/>
  <c r="AB12" i="17" s="1"/>
  <c r="K12" i="17"/>
  <c r="T11" i="17"/>
  <c r="S11" i="17"/>
  <c r="Q11" i="17"/>
  <c r="AA11" i="17" s="1"/>
  <c r="O11" i="17"/>
  <c r="N11" i="17"/>
  <c r="K11" i="17"/>
  <c r="Y10" i="17"/>
  <c r="Y19" i="17" s="1"/>
  <c r="T10" i="17"/>
  <c r="S10" i="17"/>
  <c r="R10" i="17"/>
  <c r="Q10" i="17"/>
  <c r="Q19" i="17" s="1"/>
  <c r="O10" i="17"/>
  <c r="N10" i="17"/>
  <c r="P10" i="17" s="1"/>
  <c r="K10" i="17"/>
  <c r="T9" i="17"/>
  <c r="S9" i="17"/>
  <c r="O9" i="17"/>
  <c r="N9" i="17"/>
  <c r="AA8" i="17"/>
  <c r="T8" i="17"/>
  <c r="P8" i="17"/>
  <c r="AB8" i="17" s="1"/>
  <c r="O8" i="17"/>
  <c r="T7" i="17"/>
  <c r="AA7" i="17" s="1"/>
  <c r="O7" i="17"/>
  <c r="N7" i="17"/>
  <c r="N19" i="17" s="1"/>
  <c r="T6" i="17"/>
  <c r="AA6" i="17" s="1"/>
  <c r="P6" i="17"/>
  <c r="T5" i="17"/>
  <c r="AA5" i="17" s="1"/>
  <c r="P5" i="17"/>
  <c r="T4" i="17"/>
  <c r="P4" i="17"/>
  <c r="U20" i="16"/>
  <c r="T20" i="16"/>
  <c r="N20" i="16"/>
  <c r="M20" i="16"/>
  <c r="L20" i="16"/>
  <c r="K20" i="16"/>
  <c r="J20" i="16"/>
  <c r="I20" i="16"/>
  <c r="H20" i="16"/>
  <c r="G20" i="16"/>
  <c r="F20" i="16"/>
  <c r="X19" i="16"/>
  <c r="E19" i="16"/>
  <c r="E20" i="16" s="1"/>
  <c r="X18" i="16"/>
  <c r="O18" i="16"/>
  <c r="S17" i="16"/>
  <c r="R17" i="16"/>
  <c r="O17" i="16"/>
  <c r="W16" i="16"/>
  <c r="W20" i="16" s="1"/>
  <c r="V16" i="16"/>
  <c r="S16" i="16"/>
  <c r="R16" i="16"/>
  <c r="Q16" i="16"/>
  <c r="P16" i="16"/>
  <c r="O16" i="16"/>
  <c r="X15" i="16"/>
  <c r="O15" i="16"/>
  <c r="S14" i="16"/>
  <c r="R14" i="16"/>
  <c r="Q14" i="16"/>
  <c r="P14" i="16"/>
  <c r="O14" i="16"/>
  <c r="S13" i="16"/>
  <c r="R13" i="16"/>
  <c r="P13" i="16"/>
  <c r="O13" i="16"/>
  <c r="S12" i="16"/>
  <c r="R12" i="16"/>
  <c r="Q12" i="16"/>
  <c r="P12" i="16"/>
  <c r="O12" i="16"/>
  <c r="S11" i="16"/>
  <c r="R11" i="16"/>
  <c r="P11" i="16"/>
  <c r="O11" i="16"/>
  <c r="V10" i="16"/>
  <c r="V20" i="16" s="1"/>
  <c r="S10" i="16"/>
  <c r="R10" i="16"/>
  <c r="Q10" i="16"/>
  <c r="P10" i="16"/>
  <c r="O10" i="16"/>
  <c r="S9" i="16"/>
  <c r="R9" i="16"/>
  <c r="O9" i="16"/>
  <c r="S8" i="16"/>
  <c r="X8" i="16" s="1"/>
  <c r="O8" i="16"/>
  <c r="S7" i="16"/>
  <c r="X7" i="16" s="1"/>
  <c r="O7" i="16"/>
  <c r="S6" i="16"/>
  <c r="X6" i="16" s="1"/>
  <c r="O6" i="16"/>
  <c r="S5" i="16"/>
  <c r="X5" i="16" s="1"/>
  <c r="O5" i="16"/>
  <c r="S4" i="16"/>
  <c r="S20" i="16" s="1"/>
  <c r="O4" i="16"/>
  <c r="V19" i="15"/>
  <c r="U19" i="15"/>
  <c r="M19" i="15"/>
  <c r="L19" i="15"/>
  <c r="Y18" i="15"/>
  <c r="E18" i="15"/>
  <c r="P18" i="15" s="1"/>
  <c r="Y17" i="15"/>
  <c r="P17" i="15"/>
  <c r="T16" i="15"/>
  <c r="S16" i="15"/>
  <c r="Y16" i="15" s="1"/>
  <c r="O16" i="15"/>
  <c r="N16" i="15"/>
  <c r="K16" i="15"/>
  <c r="X15" i="15"/>
  <c r="X19" i="15" s="1"/>
  <c r="W15" i="15"/>
  <c r="T15" i="15"/>
  <c r="S15" i="15"/>
  <c r="R15" i="15"/>
  <c r="Q15" i="15"/>
  <c r="O15" i="15"/>
  <c r="N15" i="15"/>
  <c r="K15" i="15"/>
  <c r="T14" i="15"/>
  <c r="S14" i="15"/>
  <c r="R14" i="15"/>
  <c r="Q14" i="15"/>
  <c r="O14" i="15"/>
  <c r="N14" i="15"/>
  <c r="K14" i="15"/>
  <c r="T13" i="15"/>
  <c r="S13" i="15"/>
  <c r="Q13" i="15"/>
  <c r="O13" i="15"/>
  <c r="N13" i="15"/>
  <c r="K13" i="15"/>
  <c r="T12" i="15"/>
  <c r="S12" i="15"/>
  <c r="R12" i="15"/>
  <c r="Q12" i="15"/>
  <c r="O12" i="15"/>
  <c r="N12" i="15"/>
  <c r="K12" i="15"/>
  <c r="T11" i="15"/>
  <c r="S11" i="15"/>
  <c r="Q11" i="15"/>
  <c r="O11" i="15"/>
  <c r="N11" i="15"/>
  <c r="P11" i="15" s="1"/>
  <c r="K11" i="15"/>
  <c r="W10" i="15"/>
  <c r="W19" i="15" s="1"/>
  <c r="T10" i="15"/>
  <c r="S10" i="15"/>
  <c r="R10" i="15"/>
  <c r="R19" i="15" s="1"/>
  <c r="Q10" i="15"/>
  <c r="Y10" i="15" s="1"/>
  <c r="O10" i="15"/>
  <c r="K10" i="15"/>
  <c r="P10" i="15" s="1"/>
  <c r="Z10" i="15" s="1"/>
  <c r="T9" i="15"/>
  <c r="S9" i="15"/>
  <c r="Y9" i="15" s="1"/>
  <c r="O9" i="15"/>
  <c r="O19" i="15" s="1"/>
  <c r="N9" i="15"/>
  <c r="P9" i="15" s="1"/>
  <c r="Z9" i="15" s="1"/>
  <c r="Y8" i="15"/>
  <c r="K8" i="15"/>
  <c r="K19" i="15" s="1"/>
  <c r="J8" i="15"/>
  <c r="J19" i="15" s="1"/>
  <c r="I8" i="15"/>
  <c r="I19" i="15" s="1"/>
  <c r="H8" i="15"/>
  <c r="H19" i="15" s="1"/>
  <c r="G8" i="15"/>
  <c r="G19" i="15" s="1"/>
  <c r="F8" i="15"/>
  <c r="F19" i="15" s="1"/>
  <c r="E8" i="15"/>
  <c r="P8" i="15" s="1"/>
  <c r="Z8" i="15" s="1"/>
  <c r="T7" i="15"/>
  <c r="Y7" i="15" s="1"/>
  <c r="P7" i="15"/>
  <c r="T6" i="15"/>
  <c r="Y6" i="15" s="1"/>
  <c r="N6" i="15"/>
  <c r="N19" i="15" s="1"/>
  <c r="T5" i="15"/>
  <c r="Y5" i="15" s="1"/>
  <c r="P5" i="15"/>
  <c r="T4" i="15"/>
  <c r="Y4" i="15" s="1"/>
  <c r="P4" i="15"/>
  <c r="T3" i="15"/>
  <c r="P3" i="15"/>
  <c r="T12" i="26" l="1"/>
  <c r="V11" i="26"/>
  <c r="W11" i="26" s="1"/>
  <c r="Q12" i="26"/>
  <c r="V5" i="26"/>
  <c r="W5" i="26" s="1"/>
  <c r="V6" i="26"/>
  <c r="W6" i="26" s="1"/>
  <c r="W7" i="26"/>
  <c r="S17" i="24"/>
  <c r="H10" i="24"/>
  <c r="F17" i="24"/>
  <c r="U5" i="24"/>
  <c r="Z5" i="24" s="1"/>
  <c r="X17" i="24"/>
  <c r="U10" i="24"/>
  <c r="AA15" i="24"/>
  <c r="R12" i="24"/>
  <c r="T12" i="24"/>
  <c r="R13" i="24"/>
  <c r="Z13" i="24" s="1"/>
  <c r="T13" i="24"/>
  <c r="G17" i="24"/>
  <c r="U7" i="24"/>
  <c r="Z7" i="24" s="1"/>
  <c r="AA7" i="24" s="1"/>
  <c r="R10" i="24"/>
  <c r="Z10" i="24" s="1"/>
  <c r="H12" i="24"/>
  <c r="H13" i="24"/>
  <c r="AA16" i="24"/>
  <c r="R17" i="22"/>
  <c r="X5" i="22"/>
  <c r="X6" i="22"/>
  <c r="X7" i="22"/>
  <c r="Q17" i="22"/>
  <c r="W10" i="22"/>
  <c r="X10" i="22" s="1"/>
  <c r="W11" i="22"/>
  <c r="X11" i="22" s="1"/>
  <c r="W13" i="22"/>
  <c r="X13" i="22" s="1"/>
  <c r="U17" i="21"/>
  <c r="AC5" i="21"/>
  <c r="AC6" i="21"/>
  <c r="O17" i="21"/>
  <c r="Q8" i="21"/>
  <c r="AC8" i="21" s="1"/>
  <c r="S17" i="21"/>
  <c r="Q10" i="21"/>
  <c r="AC10" i="21" s="1"/>
  <c r="AB11" i="21"/>
  <c r="Q12" i="21"/>
  <c r="AC12" i="21" s="1"/>
  <c r="AB12" i="21"/>
  <c r="Q13" i="21"/>
  <c r="AC13" i="21" s="1"/>
  <c r="AB13" i="21"/>
  <c r="Q14" i="21"/>
  <c r="AC14" i="21" s="1"/>
  <c r="AB14" i="21"/>
  <c r="AC15" i="21"/>
  <c r="R17" i="20"/>
  <c r="P17" i="20"/>
  <c r="W4" i="20"/>
  <c r="X4" i="20" s="1"/>
  <c r="X5" i="20"/>
  <c r="AE5" i="20"/>
  <c r="X7" i="20"/>
  <c r="Q17" i="20"/>
  <c r="AE8" i="20"/>
  <c r="AG8" i="20" s="1"/>
  <c r="AG17" i="20" s="1"/>
  <c r="AE9" i="20"/>
  <c r="AG9" i="20" s="1"/>
  <c r="AH9" i="20" s="1"/>
  <c r="AE10" i="20"/>
  <c r="AG10" i="20" s="1"/>
  <c r="AH10" i="20" s="1"/>
  <c r="W11" i="20"/>
  <c r="X11" i="20" s="1"/>
  <c r="AE11" i="20"/>
  <c r="AG11" i="20" s="1"/>
  <c r="AH11" i="20" s="1"/>
  <c r="W13" i="20"/>
  <c r="X13" i="20" s="1"/>
  <c r="AE13" i="20"/>
  <c r="AG13" i="20" s="1"/>
  <c r="AH13" i="20" s="1"/>
  <c r="Q18" i="19"/>
  <c r="Z5" i="19"/>
  <c r="Z6" i="19"/>
  <c r="P7" i="19"/>
  <c r="Z7" i="19" s="1"/>
  <c r="P10" i="19"/>
  <c r="Y11" i="19"/>
  <c r="Z11" i="19" s="1"/>
  <c r="P14" i="19"/>
  <c r="Y14" i="19"/>
  <c r="S19" i="18"/>
  <c r="Q19" i="18"/>
  <c r="X16" i="18"/>
  <c r="Y17" i="18"/>
  <c r="Y18" i="18"/>
  <c r="Y5" i="18"/>
  <c r="Y7" i="18"/>
  <c r="X10" i="18"/>
  <c r="X11" i="18"/>
  <c r="Y11" i="18" s="1"/>
  <c r="X13" i="18"/>
  <c r="Y6" i="18"/>
  <c r="Y8" i="18"/>
  <c r="O4" i="18"/>
  <c r="X4" i="18"/>
  <c r="R19" i="18"/>
  <c r="X12" i="18"/>
  <c r="Y12" i="18" s="1"/>
  <c r="X14" i="18"/>
  <c r="Y14" i="18" s="1"/>
  <c r="X15" i="18"/>
  <c r="Y15" i="18" s="1"/>
  <c r="T19" i="17"/>
  <c r="AB5" i="17"/>
  <c r="AB6" i="17"/>
  <c r="O19" i="17"/>
  <c r="P9" i="17"/>
  <c r="AA9" i="17"/>
  <c r="K19" i="17"/>
  <c r="R19" i="17"/>
  <c r="P11" i="17"/>
  <c r="P15" i="17"/>
  <c r="AA15" i="17"/>
  <c r="P16" i="17"/>
  <c r="Y7" i="16"/>
  <c r="Y5" i="16"/>
  <c r="P20" i="16"/>
  <c r="X11" i="16"/>
  <c r="Y11" i="16" s="1"/>
  <c r="X12" i="16"/>
  <c r="Y12" i="16" s="1"/>
  <c r="X13" i="16"/>
  <c r="Y13" i="16" s="1"/>
  <c r="X16" i="16"/>
  <c r="O19" i="16"/>
  <c r="Y19" i="16" s="1"/>
  <c r="X4" i="16"/>
  <c r="Y6" i="16"/>
  <c r="Y8" i="16"/>
  <c r="R20" i="16"/>
  <c r="Q20" i="16"/>
  <c r="X14" i="16"/>
  <c r="Y15" i="16"/>
  <c r="Y16" i="16"/>
  <c r="X17" i="16"/>
  <c r="Y18" i="16"/>
  <c r="Y12" i="15"/>
  <c r="P13" i="15"/>
  <c r="P15" i="15"/>
  <c r="Y15" i="15"/>
  <c r="Z15" i="15" s="1"/>
  <c r="P16" i="15"/>
  <c r="T19" i="15"/>
  <c r="Z4" i="15"/>
  <c r="Z5" i="15"/>
  <c r="P6" i="15"/>
  <c r="Z6" i="15" s="1"/>
  <c r="Z7" i="15"/>
  <c r="Y11" i="15"/>
  <c r="P12" i="15"/>
  <c r="Z12" i="15" s="1"/>
  <c r="Y13" i="15"/>
  <c r="P14" i="15"/>
  <c r="Z14" i="15" s="1"/>
  <c r="Y14" i="15"/>
  <c r="Z17" i="15"/>
  <c r="Z18" i="15"/>
  <c r="Z12" i="24"/>
  <c r="AA5" i="24"/>
  <c r="H4" i="24"/>
  <c r="U4" i="24"/>
  <c r="U6" i="24"/>
  <c r="Z6" i="24" s="1"/>
  <c r="AA6" i="24" s="1"/>
  <c r="H8" i="24"/>
  <c r="T8" i="24"/>
  <c r="H9" i="24"/>
  <c r="R9" i="24"/>
  <c r="T9" i="24"/>
  <c r="Q10" i="24"/>
  <c r="H11" i="24"/>
  <c r="R11" i="24"/>
  <c r="Z11" i="24" s="1"/>
  <c r="U11" i="24"/>
  <c r="Q12" i="24"/>
  <c r="AA12" i="24" s="1"/>
  <c r="Q13" i="24"/>
  <c r="Q14" i="24"/>
  <c r="U14" i="24"/>
  <c r="Z14" i="24" s="1"/>
  <c r="Q4" i="24"/>
  <c r="Q8" i="24"/>
  <c r="Q9" i="24"/>
  <c r="Q11" i="24"/>
  <c r="H14" i="24"/>
  <c r="AE4" i="23"/>
  <c r="AE17" i="23" s="1"/>
  <c r="R4" i="25"/>
  <c r="V4" i="26"/>
  <c r="V12" i="26" s="1"/>
  <c r="X12" i="22"/>
  <c r="X14" i="22"/>
  <c r="W8" i="22"/>
  <c r="X8" i="22" s="1"/>
  <c r="W9" i="22"/>
  <c r="X9" i="22" s="1"/>
  <c r="E17" i="22"/>
  <c r="W4" i="22"/>
  <c r="AC11" i="21"/>
  <c r="AB4" i="21"/>
  <c r="Q16" i="21"/>
  <c r="AC16" i="21" s="1"/>
  <c r="T17" i="21"/>
  <c r="Q7" i="21"/>
  <c r="AC7" i="21" s="1"/>
  <c r="Q9" i="21"/>
  <c r="AB9" i="21"/>
  <c r="AH8" i="20"/>
  <c r="AH17" i="20" s="1"/>
  <c r="X12" i="20"/>
  <c r="X14" i="20"/>
  <c r="W9" i="20"/>
  <c r="X9" i="20" s="1"/>
  <c r="N16" i="20"/>
  <c r="X16" i="20" s="1"/>
  <c r="AA17" i="20"/>
  <c r="W8" i="20"/>
  <c r="X8" i="20" s="1"/>
  <c r="T18" i="19"/>
  <c r="P8" i="19"/>
  <c r="Z8" i="19" s="1"/>
  <c r="P9" i="19"/>
  <c r="Z9" i="19" s="1"/>
  <c r="Y10" i="19"/>
  <c r="Z10" i="19" s="1"/>
  <c r="E18" i="19"/>
  <c r="S18" i="19"/>
  <c r="Y4" i="19"/>
  <c r="O19" i="18"/>
  <c r="Y10" i="18"/>
  <c r="Y13" i="18"/>
  <c r="Y16" i="18"/>
  <c r="X9" i="18"/>
  <c r="X19" i="18" s="1"/>
  <c r="E19" i="18"/>
  <c r="P19" i="18"/>
  <c r="Y4" i="18"/>
  <c r="AB11" i="17"/>
  <c r="AB16" i="17"/>
  <c r="AA10" i="17"/>
  <c r="AB10" i="17" s="1"/>
  <c r="E19" i="17"/>
  <c r="S19" i="17"/>
  <c r="AA4" i="17"/>
  <c r="P7" i="17"/>
  <c r="AB7" i="17" s="1"/>
  <c r="Y14" i="16"/>
  <c r="Y17" i="16"/>
  <c r="Y4" i="16"/>
  <c r="X9" i="16"/>
  <c r="Y9" i="16" s="1"/>
  <c r="X10" i="16"/>
  <c r="Y10" i="16" s="1"/>
  <c r="Z11" i="15"/>
  <c r="Z13" i="15"/>
  <c r="Z16" i="15"/>
  <c r="E19" i="15"/>
  <c r="Q19" i="15"/>
  <c r="S19" i="15"/>
  <c r="Y3" i="15"/>
  <c r="W4" i="26" l="1"/>
  <c r="W12" i="26" s="1"/>
  <c r="AA10" i="24"/>
  <c r="AA11" i="24"/>
  <c r="AA13" i="24"/>
  <c r="N17" i="20"/>
  <c r="X17" i="20"/>
  <c r="Z14" i="19"/>
  <c r="AB9" i="17"/>
  <c r="AB15" i="17"/>
  <c r="O20" i="16"/>
  <c r="P19" i="15"/>
  <c r="U17" i="24"/>
  <c r="Z4" i="24"/>
  <c r="Q17" i="24"/>
  <c r="AA4" i="24"/>
  <c r="AA14" i="24"/>
  <c r="Z9" i="24"/>
  <c r="AA9" i="24" s="1"/>
  <c r="R17" i="24"/>
  <c r="T17" i="24"/>
  <c r="Z8" i="24"/>
  <c r="AA8" i="24" s="1"/>
  <c r="H17" i="24"/>
  <c r="S4" i="25"/>
  <c r="S17" i="25" s="1"/>
  <c r="R17" i="25"/>
  <c r="W17" i="22"/>
  <c r="X4" i="22"/>
  <c r="X17" i="22" s="1"/>
  <c r="AC9" i="21"/>
  <c r="AC4" i="21"/>
  <c r="AB17" i="21"/>
  <c r="Q17" i="21"/>
  <c r="W17" i="20"/>
  <c r="Y18" i="19"/>
  <c r="Z4" i="19"/>
  <c r="Z18" i="19" s="1"/>
  <c r="P18" i="19"/>
  <c r="Y9" i="18"/>
  <c r="Y19" i="18" s="1"/>
  <c r="AA19" i="17"/>
  <c r="AB4" i="17"/>
  <c r="AB19" i="17" s="1"/>
  <c r="P19" i="17"/>
  <c r="X20" i="16"/>
  <c r="Y20" i="16"/>
  <c r="Y19" i="15"/>
  <c r="Z3" i="15"/>
  <c r="Z19" i="15" s="1"/>
  <c r="AC17" i="21" l="1"/>
  <c r="AA17" i="24"/>
  <c r="Z17" i="24"/>
  <c r="X20" i="14" l="1"/>
  <c r="W20" i="14"/>
  <c r="V20" i="14"/>
  <c r="U20" i="14"/>
  <c r="N20" i="14"/>
  <c r="M20" i="14"/>
  <c r="L20" i="14"/>
  <c r="K20" i="14"/>
  <c r="J20" i="14"/>
  <c r="I20" i="14"/>
  <c r="H20" i="14"/>
  <c r="G20" i="14"/>
  <c r="F20" i="14"/>
  <c r="AA19" i="14"/>
  <c r="E19" i="14"/>
  <c r="P19" i="14" s="1"/>
  <c r="AA18" i="14"/>
  <c r="E18" i="14"/>
  <c r="E20" i="14" s="1"/>
  <c r="AA17" i="14"/>
  <c r="P17" i="14"/>
  <c r="T16" i="14"/>
  <c r="S16" i="14"/>
  <c r="O16" i="14"/>
  <c r="Z15" i="14"/>
  <c r="Z20" i="14" s="1"/>
  <c r="Y15" i="14"/>
  <c r="T15" i="14"/>
  <c r="S15" i="14"/>
  <c r="R15" i="14"/>
  <c r="Q15" i="14"/>
  <c r="O15" i="14"/>
  <c r="T14" i="14"/>
  <c r="S14" i="14"/>
  <c r="R14" i="14"/>
  <c r="Q14" i="14"/>
  <c r="O14" i="14"/>
  <c r="T13" i="14"/>
  <c r="S13" i="14"/>
  <c r="Q13" i="14"/>
  <c r="O13" i="14"/>
  <c r="T12" i="14"/>
  <c r="S12" i="14"/>
  <c r="R12" i="14"/>
  <c r="Q12" i="14"/>
  <c r="O12" i="14"/>
  <c r="T11" i="14"/>
  <c r="S11" i="14"/>
  <c r="Q11" i="14"/>
  <c r="O11" i="14"/>
  <c r="Y10" i="14"/>
  <c r="Y20" i="14" s="1"/>
  <c r="T10" i="14"/>
  <c r="S10" i="14"/>
  <c r="R10" i="14"/>
  <c r="Q10" i="14"/>
  <c r="O10" i="14"/>
  <c r="T9" i="14"/>
  <c r="S9" i="14"/>
  <c r="O9" i="14"/>
  <c r="T8" i="14"/>
  <c r="AA8" i="14" s="1"/>
  <c r="P8" i="14"/>
  <c r="T7" i="14"/>
  <c r="AA7" i="14" s="1"/>
  <c r="P7" i="14"/>
  <c r="T6" i="14"/>
  <c r="AA6" i="14" s="1"/>
  <c r="P6" i="14"/>
  <c r="T5" i="14"/>
  <c r="AA5" i="14" s="1"/>
  <c r="P5" i="14"/>
  <c r="T4" i="14"/>
  <c r="P4" i="14"/>
  <c r="T20" i="14" l="1"/>
  <c r="AB17" i="14"/>
  <c r="AB19" i="14"/>
  <c r="S20" i="14"/>
  <c r="P10" i="14"/>
  <c r="AA10" i="14"/>
  <c r="AA14" i="14"/>
  <c r="AA4" i="14"/>
  <c r="AB5" i="14"/>
  <c r="AB6" i="14"/>
  <c r="AB7" i="14"/>
  <c r="AB8" i="14"/>
  <c r="O20" i="14"/>
  <c r="Q20" i="14"/>
  <c r="AA11" i="14"/>
  <c r="AA12" i="14"/>
  <c r="P13" i="14"/>
  <c r="AA13" i="14"/>
  <c r="P14" i="14"/>
  <c r="AA15" i="14"/>
  <c r="AA16" i="14"/>
  <c r="P18" i="14"/>
  <c r="AB18" i="14" s="1"/>
  <c r="AB14" i="14"/>
  <c r="AB4" i="14"/>
  <c r="P9" i="14"/>
  <c r="P11" i="14"/>
  <c r="P12" i="14"/>
  <c r="P15" i="14"/>
  <c r="AB15" i="14" s="1"/>
  <c r="P16" i="14"/>
  <c r="AB16" i="14" s="1"/>
  <c r="R20" i="14"/>
  <c r="AA9" i="14"/>
  <c r="F20" i="13"/>
  <c r="G20" i="13"/>
  <c r="H20" i="13"/>
  <c r="I20" i="13"/>
  <c r="J20" i="13"/>
  <c r="L20" i="13"/>
  <c r="M20" i="13"/>
  <c r="T20" i="13"/>
  <c r="U20" i="13"/>
  <c r="V20" i="13"/>
  <c r="W20" i="13"/>
  <c r="AB11" i="14" l="1"/>
  <c r="AA20" i="14"/>
  <c r="AB12" i="14"/>
  <c r="AB13" i="14"/>
  <c r="AB10" i="14"/>
  <c r="P20" i="14"/>
  <c r="AB9" i="14"/>
  <c r="Z19" i="13"/>
  <c r="E19" i="13"/>
  <c r="E20" i="13" s="1"/>
  <c r="Z18" i="13"/>
  <c r="O18" i="13"/>
  <c r="Z17" i="13"/>
  <c r="O17" i="13"/>
  <c r="S16" i="13"/>
  <c r="R16" i="13"/>
  <c r="N16" i="13"/>
  <c r="K16" i="13"/>
  <c r="Y15" i="13"/>
  <c r="Y20" i="13" s="1"/>
  <c r="X15" i="13"/>
  <c r="S15" i="13"/>
  <c r="R15" i="13"/>
  <c r="Q15" i="13"/>
  <c r="P15" i="13"/>
  <c r="N15" i="13"/>
  <c r="K15" i="13"/>
  <c r="S14" i="13"/>
  <c r="R14" i="13"/>
  <c r="Q14" i="13"/>
  <c r="P14" i="13"/>
  <c r="N14" i="13"/>
  <c r="K14" i="13"/>
  <c r="S13" i="13"/>
  <c r="R13" i="13"/>
  <c r="P13" i="13"/>
  <c r="K13" i="13"/>
  <c r="S12" i="13"/>
  <c r="R12" i="13"/>
  <c r="Q12" i="13"/>
  <c r="P12" i="13"/>
  <c r="N12" i="13"/>
  <c r="K12" i="13"/>
  <c r="S11" i="13"/>
  <c r="R11" i="13"/>
  <c r="P11" i="13"/>
  <c r="N11" i="13"/>
  <c r="K11" i="13"/>
  <c r="X10" i="13"/>
  <c r="X20" i="13" s="1"/>
  <c r="S10" i="13"/>
  <c r="R10" i="13"/>
  <c r="Q10" i="13"/>
  <c r="Q20" i="13" s="1"/>
  <c r="P10" i="13"/>
  <c r="N10" i="13"/>
  <c r="K10" i="13"/>
  <c r="S9" i="13"/>
  <c r="R9" i="13"/>
  <c r="R20" i="13" s="1"/>
  <c r="N9" i="13"/>
  <c r="S8" i="13"/>
  <c r="Z8" i="13" s="1"/>
  <c r="O8" i="13"/>
  <c r="S7" i="13"/>
  <c r="Z7" i="13" s="1"/>
  <c r="N7" i="13"/>
  <c r="N20" i="13" s="1"/>
  <c r="S6" i="13"/>
  <c r="Z6" i="13" s="1"/>
  <c r="O6" i="13"/>
  <c r="S5" i="13"/>
  <c r="Z5" i="13" s="1"/>
  <c r="O5" i="13"/>
  <c r="S4" i="13"/>
  <c r="O4" i="13"/>
  <c r="Z4" i="13" l="1"/>
  <c r="S20" i="13"/>
  <c r="AA6" i="13"/>
  <c r="O7" i="13"/>
  <c r="K20" i="13"/>
  <c r="P20" i="13"/>
  <c r="Z12" i="13"/>
  <c r="Z14" i="13"/>
  <c r="AA17" i="13"/>
  <c r="AB20" i="14"/>
  <c r="AA5" i="13"/>
  <c r="Z10" i="13"/>
  <c r="AA8" i="13"/>
  <c r="O9" i="13"/>
  <c r="O10" i="13"/>
  <c r="O11" i="13"/>
  <c r="Z11" i="13"/>
  <c r="Z13" i="13"/>
  <c r="Z15" i="13"/>
  <c r="Z16" i="13"/>
  <c r="O19" i="13"/>
  <c r="AA19" i="13" s="1"/>
  <c r="AA4" i="13"/>
  <c r="AA7" i="13"/>
  <c r="Z9" i="13"/>
  <c r="O13" i="13"/>
  <c r="O16" i="13"/>
  <c r="AA16" i="13" s="1"/>
  <c r="AA18" i="13"/>
  <c r="O12" i="13"/>
  <c r="AA12" i="13" s="1"/>
  <c r="O14" i="13"/>
  <c r="AA14" i="13" s="1"/>
  <c r="O15" i="13"/>
  <c r="AA15" i="13" s="1"/>
  <c r="O20" i="13" l="1"/>
  <c r="AA13" i="13"/>
  <c r="AA10" i="13"/>
  <c r="Z20" i="13"/>
  <c r="AA11" i="13"/>
  <c r="AA9" i="13"/>
  <c r="AA20" i="13" s="1"/>
  <c r="X23" i="12"/>
  <c r="W23" i="12"/>
  <c r="V23" i="12"/>
  <c r="L23" i="12"/>
  <c r="K23" i="12"/>
  <c r="AA22" i="12"/>
  <c r="E22" i="12"/>
  <c r="P22" i="12" s="1"/>
  <c r="AA21" i="12"/>
  <c r="P21" i="12"/>
  <c r="AA20" i="12"/>
  <c r="P20" i="12"/>
  <c r="T19" i="12"/>
  <c r="S19" i="12"/>
  <c r="P19" i="12"/>
  <c r="Z18" i="12"/>
  <c r="Z23" i="12" s="1"/>
  <c r="Y18" i="12"/>
  <c r="T18" i="12"/>
  <c r="S18" i="12"/>
  <c r="R18" i="12"/>
  <c r="Q18" i="12"/>
  <c r="AA18" i="12" s="1"/>
  <c r="P18" i="12"/>
  <c r="O17" i="12"/>
  <c r="O23" i="12" s="1"/>
  <c r="M17" i="12"/>
  <c r="M23" i="12" s="1"/>
  <c r="J17" i="12"/>
  <c r="J23" i="12" s="1"/>
  <c r="I17" i="12"/>
  <c r="I23" i="12" s="1"/>
  <c r="H17" i="12"/>
  <c r="H23" i="12" s="1"/>
  <c r="G17" i="12"/>
  <c r="F17" i="12"/>
  <c r="F23" i="12" s="1"/>
  <c r="E17" i="12"/>
  <c r="T17" i="12" s="1"/>
  <c r="T16" i="12"/>
  <c r="S16" i="12"/>
  <c r="R16" i="12"/>
  <c r="Q16" i="12"/>
  <c r="P16" i="12"/>
  <c r="T15" i="12"/>
  <c r="S15" i="12"/>
  <c r="Q15" i="12"/>
  <c r="P15" i="12"/>
  <c r="T14" i="12"/>
  <c r="S14" i="12"/>
  <c r="R14" i="12"/>
  <c r="Q14" i="12"/>
  <c r="AA14" i="12" s="1"/>
  <c r="P14" i="12"/>
  <c r="T13" i="12"/>
  <c r="S13" i="12"/>
  <c r="Q13" i="12"/>
  <c r="P13" i="12"/>
  <c r="T12" i="12"/>
  <c r="S12" i="12"/>
  <c r="Q12" i="12"/>
  <c r="P12" i="12"/>
  <c r="Y11" i="12"/>
  <c r="T11" i="12"/>
  <c r="S11" i="12"/>
  <c r="R11" i="12"/>
  <c r="Q11" i="12"/>
  <c r="N11" i="12"/>
  <c r="T10" i="12"/>
  <c r="S10" i="12"/>
  <c r="P10" i="12"/>
  <c r="T9" i="12"/>
  <c r="AA9" i="12" s="1"/>
  <c r="P9" i="12"/>
  <c r="T8" i="12"/>
  <c r="AA8" i="12" s="1"/>
  <c r="P8" i="12"/>
  <c r="T7" i="12"/>
  <c r="AA7" i="12" s="1"/>
  <c r="P7" i="12"/>
  <c r="T6" i="12"/>
  <c r="AA6" i="12" s="1"/>
  <c r="P6" i="12"/>
  <c r="U5" i="12"/>
  <c r="U23" i="12" s="1"/>
  <c r="T5" i="12"/>
  <c r="G5" i="12"/>
  <c r="T4" i="12"/>
  <c r="AA4" i="12" s="1"/>
  <c r="P4" i="12"/>
  <c r="P11" i="12" l="1"/>
  <c r="N23" i="12"/>
  <c r="R23" i="12"/>
  <c r="AA19" i="12"/>
  <c r="AB20" i="12"/>
  <c r="AB22" i="12"/>
  <c r="AA5" i="12"/>
  <c r="AB8" i="12"/>
  <c r="AB6" i="12"/>
  <c r="AB9" i="12"/>
  <c r="Y23" i="12"/>
  <c r="AA12" i="12"/>
  <c r="AB12" i="12" s="1"/>
  <c r="AA13" i="12"/>
  <c r="AB13" i="12" s="1"/>
  <c r="AB14" i="12"/>
  <c r="AA15" i="12"/>
  <c r="AB15" i="12" s="1"/>
  <c r="AA16" i="12"/>
  <c r="AB16" i="12" s="1"/>
  <c r="AB18" i="12"/>
  <c r="AB19" i="12"/>
  <c r="AB4" i="12"/>
  <c r="AA10" i="12"/>
  <c r="AA11" i="12"/>
  <c r="AB11" i="12" s="1"/>
  <c r="P17" i="12"/>
  <c r="S17" i="12"/>
  <c r="S23" i="12" s="1"/>
  <c r="AB21" i="12"/>
  <c r="E23" i="12"/>
  <c r="G23" i="12"/>
  <c r="T23" i="12"/>
  <c r="P5" i="12"/>
  <c r="P23" i="12" s="1"/>
  <c r="AB7" i="12"/>
  <c r="AB10" i="12"/>
  <c r="Q17" i="12"/>
  <c r="AA17" i="12" s="1"/>
  <c r="Y23" i="11"/>
  <c r="X23" i="11"/>
  <c r="R23" i="11"/>
  <c r="Q23" i="11"/>
  <c r="M23" i="11"/>
  <c r="L23" i="11"/>
  <c r="J23" i="11"/>
  <c r="I23" i="11"/>
  <c r="H23" i="11"/>
  <c r="G23" i="11"/>
  <c r="AB22" i="11"/>
  <c r="E22" i="11"/>
  <c r="S22" i="11" s="1"/>
  <c r="AB21" i="11"/>
  <c r="P21" i="11"/>
  <c r="AB20" i="11"/>
  <c r="P20" i="11"/>
  <c r="S20" i="11" s="1"/>
  <c r="AC20" i="11" s="1"/>
  <c r="W19" i="11"/>
  <c r="V19" i="11"/>
  <c r="P19" i="11"/>
  <c r="O19" i="11"/>
  <c r="N19" i="11"/>
  <c r="K19" i="11"/>
  <c r="AA18" i="11"/>
  <c r="AA23" i="11" s="1"/>
  <c r="Z18" i="11"/>
  <c r="W18" i="11"/>
  <c r="V18" i="11"/>
  <c r="U18" i="11"/>
  <c r="T18" i="11"/>
  <c r="P18" i="11"/>
  <c r="O18" i="11"/>
  <c r="N18" i="11"/>
  <c r="K18" i="11"/>
  <c r="W17" i="11"/>
  <c r="V17" i="11"/>
  <c r="U17" i="11"/>
  <c r="T17" i="11"/>
  <c r="P17" i="11"/>
  <c r="O17" i="11"/>
  <c r="N17" i="11"/>
  <c r="K17" i="11"/>
  <c r="W16" i="11"/>
  <c r="V16" i="11"/>
  <c r="U16" i="11"/>
  <c r="T16" i="11"/>
  <c r="AB16" i="11" s="1"/>
  <c r="P16" i="11"/>
  <c r="O16" i="11"/>
  <c r="N16" i="11"/>
  <c r="K16" i="11"/>
  <c r="W15" i="11"/>
  <c r="V15" i="11"/>
  <c r="AB15" i="11" s="1"/>
  <c r="T15" i="11"/>
  <c r="P15" i="11"/>
  <c r="O15" i="11"/>
  <c r="N15" i="11"/>
  <c r="K15" i="11"/>
  <c r="W14" i="11"/>
  <c r="V14" i="11"/>
  <c r="U14" i="11"/>
  <c r="T14" i="11"/>
  <c r="P14" i="11"/>
  <c r="O14" i="11"/>
  <c r="N14" i="11"/>
  <c r="K14" i="11"/>
  <c r="W13" i="11"/>
  <c r="V13" i="11"/>
  <c r="T13" i="11"/>
  <c r="AB13" i="11" s="1"/>
  <c r="P13" i="11"/>
  <c r="O13" i="11"/>
  <c r="N13" i="11"/>
  <c r="K13" i="11"/>
  <c r="S13" i="11" s="1"/>
  <c r="AC13" i="11" s="1"/>
  <c r="W12" i="11"/>
  <c r="V12" i="11"/>
  <c r="AB12" i="11" s="1"/>
  <c r="T12" i="11"/>
  <c r="P12" i="11"/>
  <c r="O12" i="11"/>
  <c r="K12" i="11"/>
  <c r="Z11" i="11"/>
  <c r="W11" i="11"/>
  <c r="V11" i="11"/>
  <c r="U11" i="11"/>
  <c r="U23" i="11" s="1"/>
  <c r="T11" i="11"/>
  <c r="P11" i="11"/>
  <c r="O11" i="11"/>
  <c r="N11" i="11"/>
  <c r="K11" i="11"/>
  <c r="W10" i="11"/>
  <c r="V10" i="11"/>
  <c r="P10" i="11"/>
  <c r="O10" i="11"/>
  <c r="N10" i="11"/>
  <c r="W9" i="11"/>
  <c r="AB9" i="11" s="1"/>
  <c r="P9" i="11"/>
  <c r="N9" i="11"/>
  <c r="W8" i="11"/>
  <c r="AB8" i="11" s="1"/>
  <c r="P8" i="11"/>
  <c r="S8" i="11" s="1"/>
  <c r="W7" i="11"/>
  <c r="AB7" i="11" s="1"/>
  <c r="P7" i="11"/>
  <c r="N7" i="11"/>
  <c r="W6" i="11"/>
  <c r="AB6" i="11" s="1"/>
  <c r="P6" i="11"/>
  <c r="S6" i="11" s="1"/>
  <c r="P5" i="11"/>
  <c r="F5" i="11"/>
  <c r="E5" i="11"/>
  <c r="E23" i="11" s="1"/>
  <c r="W4" i="11"/>
  <c r="P4" i="11"/>
  <c r="S4" i="11" s="1"/>
  <c r="AA23" i="12" l="1"/>
  <c r="AB5" i="12"/>
  <c r="Q23" i="12"/>
  <c r="AB17" i="12"/>
  <c r="AC22" i="11"/>
  <c r="AB17" i="11"/>
  <c r="AB18" i="11"/>
  <c r="AC8" i="11"/>
  <c r="AC6" i="11"/>
  <c r="S7" i="11"/>
  <c r="AC7" i="11" s="1"/>
  <c r="O23" i="11"/>
  <c r="AB10" i="11"/>
  <c r="K23" i="11"/>
  <c r="T23" i="11"/>
  <c r="Z23" i="11"/>
  <c r="S12" i="11"/>
  <c r="AC12" i="11" s="1"/>
  <c r="AB14" i="11"/>
  <c r="AB19" i="11"/>
  <c r="S10" i="11"/>
  <c r="S11" i="11"/>
  <c r="AB11" i="11"/>
  <c r="S14" i="11"/>
  <c r="S15" i="11"/>
  <c r="AC15" i="11" s="1"/>
  <c r="F23" i="11"/>
  <c r="N23" i="11"/>
  <c r="P23" i="11"/>
  <c r="V23" i="11"/>
  <c r="S5" i="11"/>
  <c r="S9" i="11"/>
  <c r="AC9" i="11" s="1"/>
  <c r="AB4" i="11"/>
  <c r="W5" i="11"/>
  <c r="AB5" i="11" s="1"/>
  <c r="S16" i="11"/>
  <c r="AC16" i="11" s="1"/>
  <c r="S17" i="11"/>
  <c r="S18" i="11"/>
  <c r="AC18" i="11" s="1"/>
  <c r="S19" i="11"/>
  <c r="S21" i="11"/>
  <c r="AC19" i="10"/>
  <c r="AC20" i="10"/>
  <c r="AC21" i="10"/>
  <c r="R5" i="10"/>
  <c r="R19" i="10"/>
  <c r="AD19" i="10" s="1"/>
  <c r="R20" i="10"/>
  <c r="AD20" i="10" s="1"/>
  <c r="R4" i="10"/>
  <c r="F22" i="10"/>
  <c r="G22" i="10"/>
  <c r="H22" i="10"/>
  <c r="I22" i="10"/>
  <c r="J22" i="10"/>
  <c r="K22" i="10"/>
  <c r="M22" i="10"/>
  <c r="N22" i="10"/>
  <c r="W22" i="10"/>
  <c r="X22" i="10"/>
  <c r="Y22" i="10"/>
  <c r="Z22" i="10"/>
  <c r="E21" i="10"/>
  <c r="R21" i="10" s="1"/>
  <c r="AD21" i="10" s="1"/>
  <c r="V18" i="10"/>
  <c r="U18" i="10"/>
  <c r="AC18" i="10" s="1"/>
  <c r="Q18" i="10"/>
  <c r="P18" i="10"/>
  <c r="R18" i="10" s="1"/>
  <c r="AD18" i="10" s="1"/>
  <c r="O18" i="10"/>
  <c r="AB17" i="10"/>
  <c r="AB22" i="10" s="1"/>
  <c r="AA17" i="10"/>
  <c r="V17" i="10"/>
  <c r="U17" i="10"/>
  <c r="T17" i="10"/>
  <c r="S17" i="10"/>
  <c r="P17" i="10"/>
  <c r="O17" i="10"/>
  <c r="V16" i="10"/>
  <c r="U16" i="10"/>
  <c r="T16" i="10"/>
  <c r="AC16" i="10" s="1"/>
  <c r="S16" i="10"/>
  <c r="Q16" i="10"/>
  <c r="Q22" i="10" s="1"/>
  <c r="P16" i="10"/>
  <c r="O16" i="10"/>
  <c r="R16" i="10" s="1"/>
  <c r="AD16" i="10" s="1"/>
  <c r="V15" i="10"/>
  <c r="U15" i="10"/>
  <c r="T15" i="10"/>
  <c r="S15" i="10"/>
  <c r="AC15" i="10" s="1"/>
  <c r="P15" i="10"/>
  <c r="O15" i="10"/>
  <c r="R15" i="10" s="1"/>
  <c r="AD15" i="10" s="1"/>
  <c r="V14" i="10"/>
  <c r="U14" i="10"/>
  <c r="AC14" i="10" s="1"/>
  <c r="S14" i="10"/>
  <c r="O14" i="10"/>
  <c r="R14" i="10" s="1"/>
  <c r="AD14" i="10" s="1"/>
  <c r="V13" i="10"/>
  <c r="U13" i="10"/>
  <c r="T13" i="10"/>
  <c r="S13" i="10"/>
  <c r="AC13" i="10" s="1"/>
  <c r="O13" i="10"/>
  <c r="R13" i="10" s="1"/>
  <c r="V12" i="10"/>
  <c r="U12" i="10"/>
  <c r="S12" i="10"/>
  <c r="AC12" i="10" s="1"/>
  <c r="P12" i="10"/>
  <c r="O12" i="10"/>
  <c r="R12" i="10" s="1"/>
  <c r="AD12" i="10" s="1"/>
  <c r="V11" i="10"/>
  <c r="U11" i="10"/>
  <c r="S11" i="10"/>
  <c r="P11" i="10"/>
  <c r="O11" i="10"/>
  <c r="AA10" i="10"/>
  <c r="AA22" i="10" s="1"/>
  <c r="V10" i="10"/>
  <c r="U10" i="10"/>
  <c r="U22" i="10" s="1"/>
  <c r="T10" i="10"/>
  <c r="S10" i="10"/>
  <c r="P10" i="10"/>
  <c r="O10" i="10"/>
  <c r="R10" i="10" s="1"/>
  <c r="L10" i="10"/>
  <c r="L22" i="10" s="1"/>
  <c r="V9" i="10"/>
  <c r="U9" i="10"/>
  <c r="P9" i="10"/>
  <c r="P22" i="10" s="1"/>
  <c r="O9" i="10"/>
  <c r="V8" i="10"/>
  <c r="AC8" i="10" s="1"/>
  <c r="O8" i="10"/>
  <c r="R8" i="10" s="1"/>
  <c r="V7" i="10"/>
  <c r="AC7" i="10" s="1"/>
  <c r="O7" i="10"/>
  <c r="R7" i="10" s="1"/>
  <c r="V6" i="10"/>
  <c r="AC6" i="10" s="1"/>
  <c r="O6" i="10"/>
  <c r="R6" i="10" s="1"/>
  <c r="V5" i="10"/>
  <c r="AC5" i="10" s="1"/>
  <c r="V4" i="10"/>
  <c r="AC19" i="11" l="1"/>
  <c r="AC17" i="11"/>
  <c r="AC10" i="10"/>
  <c r="AD10" i="10" s="1"/>
  <c r="AD6" i="10"/>
  <c r="T22" i="10"/>
  <c r="V22" i="10"/>
  <c r="AD7" i="10"/>
  <c r="R9" i="10"/>
  <c r="AC9" i="10"/>
  <c r="R11" i="10"/>
  <c r="AC11" i="10"/>
  <c r="AD13" i="10"/>
  <c r="R17" i="10"/>
  <c r="AC17" i="10"/>
  <c r="AC4" i="10"/>
  <c r="AB23" i="12"/>
  <c r="AC14" i="11"/>
  <c r="AB23" i="11"/>
  <c r="AC5" i="11"/>
  <c r="AC4" i="11"/>
  <c r="AC21" i="11"/>
  <c r="AC11" i="11"/>
  <c r="AC10" i="11"/>
  <c r="W23" i="11"/>
  <c r="S23" i="11"/>
  <c r="R22" i="10"/>
  <c r="AC22" i="10"/>
  <c r="AD8" i="10"/>
  <c r="AD5" i="10"/>
  <c r="S22" i="10"/>
  <c r="O22" i="10"/>
  <c r="AD4" i="10"/>
  <c r="E22" i="10"/>
  <c r="O22" i="9"/>
  <c r="P5" i="9"/>
  <c r="P19" i="9"/>
  <c r="P20" i="9"/>
  <c r="P4" i="9"/>
  <c r="AD11" i="10" l="1"/>
  <c r="AD9" i="10"/>
  <c r="AD22" i="10" s="1"/>
  <c r="AD17" i="10"/>
  <c r="AC23" i="11"/>
  <c r="Y10" i="9"/>
  <c r="R10" i="9"/>
  <c r="AA19" i="9"/>
  <c r="AB19" i="9" s="1"/>
  <c r="AA20" i="9"/>
  <c r="AB20" i="9" s="1"/>
  <c r="AA21" i="9"/>
  <c r="AC24" i="11" l="1"/>
  <c r="X22" i="9"/>
  <c r="W22" i="9"/>
  <c r="V22" i="9"/>
  <c r="U22" i="9"/>
  <c r="M22" i="9"/>
  <c r="J22" i="9"/>
  <c r="I22" i="9"/>
  <c r="H22" i="9"/>
  <c r="G22" i="9"/>
  <c r="F22" i="9"/>
  <c r="E21" i="9"/>
  <c r="T18" i="9"/>
  <c r="S18" i="9"/>
  <c r="N18" i="9"/>
  <c r="K18" i="9"/>
  <c r="P18" i="9" s="1"/>
  <c r="Z17" i="9"/>
  <c r="Z22" i="9" s="1"/>
  <c r="Y17" i="9"/>
  <c r="T17" i="9"/>
  <c r="S17" i="9"/>
  <c r="R17" i="9"/>
  <c r="Q17" i="9"/>
  <c r="K17" i="9"/>
  <c r="P17" i="9" s="1"/>
  <c r="T16" i="9"/>
  <c r="S16" i="9"/>
  <c r="R16" i="9"/>
  <c r="Q16" i="9"/>
  <c r="N16" i="9"/>
  <c r="K16" i="9"/>
  <c r="T15" i="9"/>
  <c r="S15" i="9"/>
  <c r="R15" i="9"/>
  <c r="Q15" i="9"/>
  <c r="N15" i="9"/>
  <c r="K15" i="9"/>
  <c r="T14" i="9"/>
  <c r="S14" i="9"/>
  <c r="Q14" i="9"/>
  <c r="AA14" i="9" s="1"/>
  <c r="N14" i="9"/>
  <c r="K14" i="9"/>
  <c r="T13" i="9"/>
  <c r="S13" i="9"/>
  <c r="R13" i="9"/>
  <c r="Q13" i="9"/>
  <c r="AA13" i="9" s="1"/>
  <c r="N13" i="9"/>
  <c r="K13" i="9"/>
  <c r="T12" i="9"/>
  <c r="S12" i="9"/>
  <c r="Q12" i="9"/>
  <c r="N12" i="9"/>
  <c r="K12" i="9"/>
  <c r="T11" i="9"/>
  <c r="S11" i="9"/>
  <c r="Q11" i="9"/>
  <c r="AA11" i="9" s="1"/>
  <c r="K11" i="9"/>
  <c r="P11" i="9" s="1"/>
  <c r="Y22" i="9"/>
  <c r="T10" i="9"/>
  <c r="S10" i="9"/>
  <c r="Q10" i="9"/>
  <c r="L10" i="9"/>
  <c r="L22" i="9" s="1"/>
  <c r="K10" i="9"/>
  <c r="T9" i="9"/>
  <c r="S9" i="9"/>
  <c r="N9" i="9"/>
  <c r="P9" i="9" s="1"/>
  <c r="T8" i="9"/>
  <c r="AA8" i="9" s="1"/>
  <c r="N8" i="9"/>
  <c r="P8" i="9" s="1"/>
  <c r="T7" i="9"/>
  <c r="AA7" i="9" s="1"/>
  <c r="N7" i="9"/>
  <c r="P7" i="9" s="1"/>
  <c r="T6" i="9"/>
  <c r="AA6" i="9" s="1"/>
  <c r="N6" i="9"/>
  <c r="P6" i="9" s="1"/>
  <c r="T5" i="9"/>
  <c r="AA5" i="9" s="1"/>
  <c r="AB5" i="9" s="1"/>
  <c r="T4" i="9"/>
  <c r="AA4" i="9" s="1"/>
  <c r="AB4" i="9" s="1"/>
  <c r="P13" i="9" l="1"/>
  <c r="AB13" i="9" s="1"/>
  <c r="P14" i="9"/>
  <c r="AB14" i="9" s="1"/>
  <c r="R22" i="9"/>
  <c r="P21" i="9"/>
  <c r="AB21" i="9" s="1"/>
  <c r="P10" i="9"/>
  <c r="P12" i="9"/>
  <c r="P15" i="9"/>
  <c r="P16" i="9"/>
  <c r="AA9" i="9"/>
  <c r="AA10" i="9"/>
  <c r="AB10" i="9" s="1"/>
  <c r="AB6" i="9"/>
  <c r="AB7" i="9"/>
  <c r="AB8" i="9"/>
  <c r="AB9" i="9"/>
  <c r="AB11" i="9"/>
  <c r="AA12" i="9"/>
  <c r="AB12" i="9" s="1"/>
  <c r="AA15" i="9"/>
  <c r="AB15" i="9" s="1"/>
  <c r="AA16" i="9"/>
  <c r="AB16" i="9" s="1"/>
  <c r="AA17" i="9"/>
  <c r="AB17" i="9" s="1"/>
  <c r="AA18" i="9"/>
  <c r="AB18" i="9" s="1"/>
  <c r="S22" i="9"/>
  <c r="Q22" i="9"/>
  <c r="K22" i="9"/>
  <c r="E22" i="9"/>
  <c r="N22" i="9"/>
  <c r="T22" i="9"/>
  <c r="AA22" i="9" l="1"/>
  <c r="P22" i="9"/>
  <c r="AB22" i="9" l="1"/>
  <c r="W14" i="4" l="1"/>
  <c r="M14" i="4"/>
  <c r="J14" i="4"/>
  <c r="I14" i="4"/>
  <c r="H14" i="4"/>
  <c r="G14" i="4"/>
  <c r="F14" i="4"/>
  <c r="E14" i="4"/>
  <c r="T14" i="4" s="1"/>
  <c r="X23" i="8"/>
  <c r="W23" i="8"/>
  <c r="V23" i="8"/>
  <c r="U23" i="8"/>
  <c r="N23" i="8"/>
  <c r="M23" i="8"/>
  <c r="K23" i="8"/>
  <c r="J23" i="8"/>
  <c r="I23" i="8"/>
  <c r="H23" i="8"/>
  <c r="F23" i="8"/>
  <c r="AA22" i="8"/>
  <c r="E22" i="8"/>
  <c r="P22" i="8" s="1"/>
  <c r="AB22" i="8" s="1"/>
  <c r="AA21" i="8"/>
  <c r="P21" i="8"/>
  <c r="AA20" i="8"/>
  <c r="P20" i="8"/>
  <c r="T19" i="8"/>
  <c r="S19" i="8"/>
  <c r="O19" i="8"/>
  <c r="Z18" i="8"/>
  <c r="Z23" i="8" s="1"/>
  <c r="Y18" i="8"/>
  <c r="T18" i="8"/>
  <c r="S18" i="8"/>
  <c r="R18" i="8"/>
  <c r="Q18" i="8"/>
  <c r="P18" i="8"/>
  <c r="O18" i="8"/>
  <c r="T17" i="8"/>
  <c r="S17" i="8"/>
  <c r="R17" i="8"/>
  <c r="Q17" i="8"/>
  <c r="O17" i="8"/>
  <c r="T16" i="8"/>
  <c r="S16" i="8"/>
  <c r="R16" i="8"/>
  <c r="Q16" i="8"/>
  <c r="AA16" i="8" s="1"/>
  <c r="O16" i="8"/>
  <c r="T15" i="8"/>
  <c r="S15" i="8"/>
  <c r="Q15" i="8"/>
  <c r="O15" i="8"/>
  <c r="T14" i="8"/>
  <c r="S14" i="8"/>
  <c r="R14" i="8"/>
  <c r="Q14" i="8"/>
  <c r="O14" i="8"/>
  <c r="T13" i="8"/>
  <c r="S13" i="8"/>
  <c r="Q13" i="8"/>
  <c r="O13" i="8"/>
  <c r="T12" i="8"/>
  <c r="S12" i="8"/>
  <c r="Q12" i="8"/>
  <c r="O12" i="8"/>
  <c r="Y11" i="8"/>
  <c r="Y23" i="8" s="1"/>
  <c r="T11" i="8"/>
  <c r="S11" i="8"/>
  <c r="R11" i="8"/>
  <c r="AA11" i="8" s="1"/>
  <c r="Q11" i="8"/>
  <c r="O11" i="8"/>
  <c r="L11" i="8"/>
  <c r="T10" i="8"/>
  <c r="S10" i="8"/>
  <c r="O10" i="8"/>
  <c r="T9" i="8"/>
  <c r="AA9" i="8" s="1"/>
  <c r="O9" i="8"/>
  <c r="T8" i="8"/>
  <c r="AA8" i="8" s="1"/>
  <c r="O8" i="8"/>
  <c r="T7" i="8"/>
  <c r="AA7" i="8" s="1"/>
  <c r="O7" i="8"/>
  <c r="P7" i="8" s="1"/>
  <c r="T6" i="8"/>
  <c r="AA6" i="8" s="1"/>
  <c r="P6" i="8"/>
  <c r="G5" i="8"/>
  <c r="G23" i="8" s="1"/>
  <c r="E5" i="8"/>
  <c r="E23" i="8" s="1"/>
  <c r="T4" i="8"/>
  <c r="P4" i="8"/>
  <c r="Q14" i="4" l="1"/>
  <c r="R14" i="4"/>
  <c r="AB14" i="4" s="1"/>
  <c r="AC14" i="4" s="1"/>
  <c r="U14" i="4"/>
  <c r="S23" i="8"/>
  <c r="AA17" i="8"/>
  <c r="P9" i="8"/>
  <c r="AB9" i="8" s="1"/>
  <c r="Q23" i="8"/>
  <c r="P19" i="8"/>
  <c r="AB6" i="8"/>
  <c r="O23" i="8"/>
  <c r="P8" i="8"/>
  <c r="AB8" i="8" s="1"/>
  <c r="P10" i="8"/>
  <c r="P12" i="8"/>
  <c r="AA12" i="8"/>
  <c r="P13" i="8"/>
  <c r="AA13" i="8"/>
  <c r="AA14" i="8"/>
  <c r="P15" i="8"/>
  <c r="AA15" i="8"/>
  <c r="P16" i="8"/>
  <c r="AB16" i="8" s="1"/>
  <c r="AA18" i="8"/>
  <c r="AA19" i="8"/>
  <c r="AB19" i="8" s="1"/>
  <c r="AB18" i="8"/>
  <c r="AB20" i="8"/>
  <c r="AA4" i="8"/>
  <c r="T5" i="8"/>
  <c r="AA5" i="8" s="1"/>
  <c r="AB7" i="8"/>
  <c r="AA10" i="8"/>
  <c r="P14" i="8"/>
  <c r="AB14" i="8" s="1"/>
  <c r="P17" i="8"/>
  <c r="AB17" i="8" s="1"/>
  <c r="L23" i="8"/>
  <c r="R23" i="8"/>
  <c r="P5" i="8"/>
  <c r="P11" i="8"/>
  <c r="AB11" i="8" s="1"/>
  <c r="AB21" i="8"/>
  <c r="AB15" i="8" l="1"/>
  <c r="AB10" i="8"/>
  <c r="AB13" i="8"/>
  <c r="AB12" i="8"/>
  <c r="AB5" i="8"/>
  <c r="AA23" i="8"/>
  <c r="AB4" i="8"/>
  <c r="T23" i="8"/>
  <c r="P23" i="8"/>
  <c r="X23" i="7"/>
  <c r="W23" i="7"/>
  <c r="V23" i="7"/>
  <c r="U23" i="7"/>
  <c r="M23" i="7"/>
  <c r="J23" i="7"/>
  <c r="I23" i="7"/>
  <c r="H23" i="7"/>
  <c r="G23" i="7"/>
  <c r="F23" i="7"/>
  <c r="E23" i="7"/>
  <c r="AA22" i="7"/>
  <c r="E22" i="7"/>
  <c r="P22" i="7" s="1"/>
  <c r="AA21" i="7"/>
  <c r="P21" i="7"/>
  <c r="AA20" i="7"/>
  <c r="P20" i="7"/>
  <c r="T19" i="7"/>
  <c r="S19" i="7"/>
  <c r="N19" i="7"/>
  <c r="K19" i="7"/>
  <c r="Z18" i="7"/>
  <c r="Z23" i="7" s="1"/>
  <c r="Y18" i="7"/>
  <c r="T18" i="7"/>
  <c r="S18" i="7"/>
  <c r="R18" i="7"/>
  <c r="Q18" i="7"/>
  <c r="N18" i="7"/>
  <c r="K18" i="7"/>
  <c r="T17" i="7"/>
  <c r="S17" i="7"/>
  <c r="R17" i="7"/>
  <c r="Q17" i="7"/>
  <c r="K17" i="7"/>
  <c r="T16" i="7"/>
  <c r="S16" i="7"/>
  <c r="R16" i="7"/>
  <c r="Q16" i="7"/>
  <c r="N16" i="7"/>
  <c r="K16" i="7"/>
  <c r="T15" i="7"/>
  <c r="S15" i="7"/>
  <c r="Q15" i="7"/>
  <c r="N15" i="7"/>
  <c r="K15" i="7"/>
  <c r="T14" i="7"/>
  <c r="S14" i="7"/>
  <c r="R14" i="7"/>
  <c r="Q14" i="7"/>
  <c r="N14" i="7"/>
  <c r="K14" i="7"/>
  <c r="T13" i="7"/>
  <c r="S13" i="7"/>
  <c r="Q13" i="7"/>
  <c r="N13" i="7"/>
  <c r="K13" i="7"/>
  <c r="T12" i="7"/>
  <c r="S12" i="7"/>
  <c r="Q12" i="7"/>
  <c r="N12" i="7"/>
  <c r="K12" i="7"/>
  <c r="Y11" i="7"/>
  <c r="Y23" i="7" s="1"/>
  <c r="T11" i="7"/>
  <c r="S11" i="7"/>
  <c r="R11" i="7"/>
  <c r="Q11" i="7"/>
  <c r="N11" i="7"/>
  <c r="L11" i="7"/>
  <c r="K11" i="7"/>
  <c r="T10" i="7"/>
  <c r="S10" i="7"/>
  <c r="N10" i="7"/>
  <c r="T9" i="7"/>
  <c r="AA9" i="7" s="1"/>
  <c r="N9" i="7"/>
  <c r="P9" i="7" s="1"/>
  <c r="T8" i="7"/>
  <c r="AA8" i="7" s="1"/>
  <c r="N8" i="7"/>
  <c r="T7" i="7"/>
  <c r="AA7" i="7" s="1"/>
  <c r="N7" i="7"/>
  <c r="P7" i="7" s="1"/>
  <c r="T6" i="7"/>
  <c r="AA6" i="7" s="1"/>
  <c r="O6" i="7"/>
  <c r="T5" i="7"/>
  <c r="AA5" i="7" s="1"/>
  <c r="O5" i="7"/>
  <c r="P5" i="7" s="1"/>
  <c r="T4" i="7"/>
  <c r="O4" i="7"/>
  <c r="O23" i="7" s="1"/>
  <c r="R23" i="7" l="1"/>
  <c r="P15" i="7"/>
  <c r="AB15" i="7" s="1"/>
  <c r="AA15" i="7"/>
  <c r="AA17" i="7"/>
  <c r="AA19" i="7"/>
  <c r="AB22" i="7"/>
  <c r="AB5" i="7"/>
  <c r="AB7" i="7"/>
  <c r="AB9" i="7"/>
  <c r="Q23" i="7"/>
  <c r="P13" i="7"/>
  <c r="AB23" i="8"/>
  <c r="AA13" i="7"/>
  <c r="AB13" i="7" s="1"/>
  <c r="T23" i="7"/>
  <c r="S23" i="7"/>
  <c r="AB21" i="7"/>
  <c r="P4" i="7"/>
  <c r="AA4" i="7"/>
  <c r="P6" i="7"/>
  <c r="AB6" i="7" s="1"/>
  <c r="P8" i="7"/>
  <c r="AB8" i="7" s="1"/>
  <c r="P10" i="7"/>
  <c r="K23" i="7"/>
  <c r="AA12" i="7"/>
  <c r="AA14" i="7"/>
  <c r="AA16" i="7"/>
  <c r="AA18" i="7"/>
  <c r="AB20" i="7"/>
  <c r="P12" i="7"/>
  <c r="AB12" i="7" s="1"/>
  <c r="P16" i="7"/>
  <c r="AB16" i="7" s="1"/>
  <c r="L23" i="7"/>
  <c r="N23" i="7"/>
  <c r="AA10" i="7"/>
  <c r="P11" i="7"/>
  <c r="AA11" i="7"/>
  <c r="P14" i="7"/>
  <c r="AB14" i="7" s="1"/>
  <c r="P17" i="7"/>
  <c r="AB17" i="7" s="1"/>
  <c r="P18" i="7"/>
  <c r="AB18" i="7" s="1"/>
  <c r="P19" i="7"/>
  <c r="AB19" i="7" s="1"/>
  <c r="AA23" i="7" l="1"/>
  <c r="AB4" i="7"/>
  <c r="P23" i="7"/>
  <c r="AB10" i="7"/>
  <c r="AB11" i="7"/>
  <c r="AB23" i="7" l="1"/>
  <c r="W23" i="6" l="1"/>
  <c r="V23" i="6"/>
  <c r="U23" i="6"/>
  <c r="T23" i="6"/>
  <c r="N23" i="6"/>
  <c r="M23" i="6"/>
  <c r="K23" i="6"/>
  <c r="J23" i="6"/>
  <c r="I23" i="6"/>
  <c r="H23" i="6"/>
  <c r="G23" i="6"/>
  <c r="F23" i="6"/>
  <c r="Z22" i="6"/>
  <c r="E22" i="6"/>
  <c r="O22" i="6" s="1"/>
  <c r="AA22" i="6" s="1"/>
  <c r="Z21" i="6"/>
  <c r="O21" i="6"/>
  <c r="AA21" i="6" s="1"/>
  <c r="Z20" i="6"/>
  <c r="O20" i="6"/>
  <c r="AA20" i="6" s="1"/>
  <c r="S19" i="6"/>
  <c r="R19" i="6"/>
  <c r="Z19" i="6" s="1"/>
  <c r="O19" i="6"/>
  <c r="Y18" i="6"/>
  <c r="Y23" i="6" s="1"/>
  <c r="X18" i="6"/>
  <c r="S18" i="6"/>
  <c r="R18" i="6"/>
  <c r="Q18" i="6"/>
  <c r="P18" i="6"/>
  <c r="O18" i="6"/>
  <c r="S17" i="6"/>
  <c r="R17" i="6"/>
  <c r="Q17" i="6"/>
  <c r="P17" i="6"/>
  <c r="O17" i="6"/>
  <c r="S16" i="6"/>
  <c r="R16" i="6"/>
  <c r="Q16" i="6"/>
  <c r="P16" i="6"/>
  <c r="O16" i="6"/>
  <c r="S15" i="6"/>
  <c r="R15" i="6"/>
  <c r="P15" i="6"/>
  <c r="O15" i="6"/>
  <c r="S14" i="6"/>
  <c r="R14" i="6"/>
  <c r="Q14" i="6"/>
  <c r="P14" i="6"/>
  <c r="O14" i="6"/>
  <c r="S13" i="6"/>
  <c r="R13" i="6"/>
  <c r="P13" i="6"/>
  <c r="O13" i="6"/>
  <c r="S12" i="6"/>
  <c r="R12" i="6"/>
  <c r="P12" i="6"/>
  <c r="O12" i="6"/>
  <c r="X11" i="6"/>
  <c r="S11" i="6"/>
  <c r="R11" i="6"/>
  <c r="Q11" i="6"/>
  <c r="P11" i="6"/>
  <c r="L11" i="6"/>
  <c r="L23" i="6" s="1"/>
  <c r="S10" i="6"/>
  <c r="R10" i="6"/>
  <c r="O10" i="6"/>
  <c r="S9" i="6"/>
  <c r="Z9" i="6" s="1"/>
  <c r="O9" i="6"/>
  <c r="S8" i="6"/>
  <c r="Z8" i="6" s="1"/>
  <c r="O8" i="6"/>
  <c r="S7" i="6"/>
  <c r="Z7" i="6" s="1"/>
  <c r="O7" i="6"/>
  <c r="S6" i="6"/>
  <c r="Z6" i="6" s="1"/>
  <c r="O6" i="6"/>
  <c r="S5" i="6"/>
  <c r="Z5" i="6" s="1"/>
  <c r="O5" i="6"/>
  <c r="S4" i="6"/>
  <c r="O4" i="6"/>
  <c r="S23" i="6" l="1"/>
  <c r="Q23" i="6"/>
  <c r="Z15" i="6"/>
  <c r="AA15" i="6" s="1"/>
  <c r="Z16" i="6"/>
  <c r="Z18" i="6"/>
  <c r="AA8" i="6"/>
  <c r="AA9" i="6"/>
  <c r="R23" i="6"/>
  <c r="Z12" i="6"/>
  <c r="AA12" i="6" s="1"/>
  <c r="AA6" i="6"/>
  <c r="Z4" i="6"/>
  <c r="AA4" i="6" s="1"/>
  <c r="AA5" i="6"/>
  <c r="AA7" i="6"/>
  <c r="P23" i="6"/>
  <c r="X23" i="6"/>
  <c r="Z13" i="6"/>
  <c r="AA13" i="6" s="1"/>
  <c r="Z14" i="6"/>
  <c r="AA14" i="6" s="1"/>
  <c r="AA16" i="6"/>
  <c r="Z17" i="6"/>
  <c r="AA17" i="6" s="1"/>
  <c r="AA18" i="6"/>
  <c r="AA19" i="6"/>
  <c r="E23" i="6"/>
  <c r="Z10" i="6"/>
  <c r="O11" i="6"/>
  <c r="Z11" i="6"/>
  <c r="F23" i="5"/>
  <c r="G23" i="5"/>
  <c r="H23" i="5"/>
  <c r="I23" i="5"/>
  <c r="J23" i="5"/>
  <c r="M23" i="5"/>
  <c r="U23" i="5"/>
  <c r="V23" i="5"/>
  <c r="W23" i="5"/>
  <c r="X23" i="5"/>
  <c r="AA22" i="5"/>
  <c r="E22" i="5"/>
  <c r="E23" i="5" s="1"/>
  <c r="AA21" i="5"/>
  <c r="P21" i="5"/>
  <c r="AA20" i="5"/>
  <c r="P20" i="5"/>
  <c r="T19" i="5"/>
  <c r="S19" i="5"/>
  <c r="O19" i="5"/>
  <c r="N19" i="5"/>
  <c r="K19" i="5"/>
  <c r="Z18" i="5"/>
  <c r="Z23" i="5" s="1"/>
  <c r="Y18" i="5"/>
  <c r="T18" i="5"/>
  <c r="S18" i="5"/>
  <c r="R18" i="5"/>
  <c r="Q18" i="5"/>
  <c r="O18" i="5"/>
  <c r="N18" i="5"/>
  <c r="K18" i="5"/>
  <c r="T17" i="5"/>
  <c r="S17" i="5"/>
  <c r="R17" i="5"/>
  <c r="Q17" i="5"/>
  <c r="O17" i="5"/>
  <c r="N17" i="5"/>
  <c r="K17" i="5"/>
  <c r="T16" i="5"/>
  <c r="S16" i="5"/>
  <c r="R16" i="5"/>
  <c r="Q16" i="5"/>
  <c r="O16" i="5"/>
  <c r="N16" i="5"/>
  <c r="K16" i="5"/>
  <c r="T15" i="5"/>
  <c r="S15" i="5"/>
  <c r="Q15" i="5"/>
  <c r="O15" i="5"/>
  <c r="N15" i="5"/>
  <c r="K15" i="5"/>
  <c r="T14" i="5"/>
  <c r="S14" i="5"/>
  <c r="R14" i="5"/>
  <c r="Q14" i="5"/>
  <c r="O14" i="5"/>
  <c r="N14" i="5"/>
  <c r="K14" i="5"/>
  <c r="T13" i="5"/>
  <c r="S13" i="5"/>
  <c r="Q13" i="5"/>
  <c r="O13" i="5"/>
  <c r="N13" i="5"/>
  <c r="K13" i="5"/>
  <c r="T12" i="5"/>
  <c r="S12" i="5"/>
  <c r="Q12" i="5"/>
  <c r="O12" i="5"/>
  <c r="N12" i="5"/>
  <c r="K12" i="5"/>
  <c r="Y11" i="5"/>
  <c r="Y23" i="5" s="1"/>
  <c r="T11" i="5"/>
  <c r="S11" i="5"/>
  <c r="R11" i="5"/>
  <c r="R23" i="5" s="1"/>
  <c r="Q11" i="5"/>
  <c r="Q23" i="5" s="1"/>
  <c r="O11" i="5"/>
  <c r="N11" i="5"/>
  <c r="L11" i="5"/>
  <c r="L23" i="5" s="1"/>
  <c r="K11" i="5"/>
  <c r="K23" i="5" s="1"/>
  <c r="T10" i="5"/>
  <c r="S10" i="5"/>
  <c r="S23" i="5" s="1"/>
  <c r="O10" i="5"/>
  <c r="N10" i="5"/>
  <c r="T9" i="5"/>
  <c r="AA9" i="5" s="1"/>
  <c r="O9" i="5"/>
  <c r="N9" i="5"/>
  <c r="T8" i="5"/>
  <c r="AA8" i="5" s="1"/>
  <c r="O8" i="5"/>
  <c r="N8" i="5"/>
  <c r="T7" i="5"/>
  <c r="AA7" i="5" s="1"/>
  <c r="O7" i="5"/>
  <c r="O23" i="5" s="1"/>
  <c r="N7" i="5"/>
  <c r="T6" i="5"/>
  <c r="AA6" i="5" s="1"/>
  <c r="P6" i="5"/>
  <c r="T5" i="5"/>
  <c r="AA5" i="5" s="1"/>
  <c r="P5" i="5"/>
  <c r="T4" i="5"/>
  <c r="T23" i="5" s="1"/>
  <c r="P4" i="5"/>
  <c r="N23" i="5" l="1"/>
  <c r="Z23" i="6"/>
  <c r="AA11" i="6"/>
  <c r="O23" i="6"/>
  <c r="AA10" i="6"/>
  <c r="AB6" i="5"/>
  <c r="AA12" i="5"/>
  <c r="AB5" i="5"/>
  <c r="AA14" i="5"/>
  <c r="AA15" i="5"/>
  <c r="P16" i="5"/>
  <c r="AA16" i="5"/>
  <c r="P18" i="5"/>
  <c r="AA18" i="5"/>
  <c r="AA19" i="5"/>
  <c r="P9" i="5"/>
  <c r="AB9" i="5" s="1"/>
  <c r="AA13" i="5"/>
  <c r="P17" i="5"/>
  <c r="AA17" i="5"/>
  <c r="AB20" i="5"/>
  <c r="P7" i="5"/>
  <c r="P8" i="5"/>
  <c r="AB8" i="5" s="1"/>
  <c r="P10" i="5"/>
  <c r="AA4" i="5"/>
  <c r="AA11" i="5"/>
  <c r="P12" i="5"/>
  <c r="AB12" i="5" s="1"/>
  <c r="P13" i="5"/>
  <c r="AB13" i="5" s="1"/>
  <c r="AA10" i="5"/>
  <c r="P11" i="5"/>
  <c r="P14" i="5"/>
  <c r="AB14" i="5" s="1"/>
  <c r="P15" i="5"/>
  <c r="AB15" i="5" s="1"/>
  <c r="P19" i="5"/>
  <c r="AB19" i="5" s="1"/>
  <c r="AB21" i="5"/>
  <c r="P22" i="5"/>
  <c r="Y24" i="4"/>
  <c r="X24" i="4"/>
  <c r="V24" i="4"/>
  <c r="N24" i="4"/>
  <c r="K24" i="4"/>
  <c r="AB23" i="4"/>
  <c r="E23" i="4"/>
  <c r="AB22" i="4"/>
  <c r="Q22" i="4"/>
  <c r="AB21" i="4"/>
  <c r="Q21" i="4"/>
  <c r="U20" i="4"/>
  <c r="T20" i="4"/>
  <c r="P20" i="4"/>
  <c r="AA19" i="4"/>
  <c r="AA24" i="4" s="1"/>
  <c r="Z19" i="4"/>
  <c r="U19" i="4"/>
  <c r="T19" i="4"/>
  <c r="S19" i="4"/>
  <c r="R19" i="4"/>
  <c r="P19" i="4"/>
  <c r="U18" i="4"/>
  <c r="T18" i="4"/>
  <c r="S18" i="4"/>
  <c r="R18" i="4"/>
  <c r="P18" i="4"/>
  <c r="Q18" i="4" s="1"/>
  <c r="U17" i="4"/>
  <c r="T17" i="4"/>
  <c r="S17" i="4"/>
  <c r="R17" i="4"/>
  <c r="P17" i="4"/>
  <c r="U16" i="4"/>
  <c r="T16" i="4"/>
  <c r="R16" i="4"/>
  <c r="P16" i="4"/>
  <c r="U15" i="4"/>
  <c r="T15" i="4"/>
  <c r="S15" i="4"/>
  <c r="R15" i="4"/>
  <c r="P15" i="4"/>
  <c r="W24" i="4"/>
  <c r="M24" i="4"/>
  <c r="J24" i="4"/>
  <c r="I24" i="4"/>
  <c r="H24" i="4"/>
  <c r="G24" i="4"/>
  <c r="F24" i="4"/>
  <c r="U13" i="4"/>
  <c r="T13" i="4"/>
  <c r="R13" i="4"/>
  <c r="P13" i="4"/>
  <c r="U12" i="4"/>
  <c r="T12" i="4"/>
  <c r="R12" i="4"/>
  <c r="P12" i="4"/>
  <c r="Z11" i="4"/>
  <c r="Z24" i="4" s="1"/>
  <c r="U11" i="4"/>
  <c r="T11" i="4"/>
  <c r="S11" i="4"/>
  <c r="R11" i="4"/>
  <c r="P11" i="4"/>
  <c r="L11" i="4"/>
  <c r="L24" i="4" s="1"/>
  <c r="U10" i="4"/>
  <c r="T10" i="4"/>
  <c r="P10" i="4"/>
  <c r="U9" i="4"/>
  <c r="AB9" i="4" s="1"/>
  <c r="P9" i="4"/>
  <c r="Q9" i="4" s="1"/>
  <c r="U8" i="4"/>
  <c r="AB8" i="4" s="1"/>
  <c r="P8" i="4"/>
  <c r="U7" i="4"/>
  <c r="AB7" i="4" s="1"/>
  <c r="P7" i="4"/>
  <c r="U6" i="4"/>
  <c r="AB6" i="4" s="1"/>
  <c r="O6" i="4"/>
  <c r="U5" i="4"/>
  <c r="AB5" i="4" s="1"/>
  <c r="O5" i="4"/>
  <c r="Q5" i="4" s="1"/>
  <c r="U4" i="4"/>
  <c r="O4" i="4"/>
  <c r="P23" i="5" l="1"/>
  <c r="O24" i="4"/>
  <c r="AB16" i="4"/>
  <c r="S24" i="4"/>
  <c r="AA23" i="6"/>
  <c r="AA23" i="5"/>
  <c r="AB18" i="5"/>
  <c r="AB16" i="5"/>
  <c r="AB11" i="5"/>
  <c r="AB17" i="5"/>
  <c r="AB4" i="5"/>
  <c r="AB10" i="5"/>
  <c r="AB22" i="5"/>
  <c r="AB7" i="5"/>
  <c r="AB15" i="4"/>
  <c r="AB17" i="4"/>
  <c r="AB20" i="4"/>
  <c r="AC5" i="4"/>
  <c r="P24" i="4"/>
  <c r="AC9" i="4"/>
  <c r="AC22" i="4"/>
  <c r="AB12" i="4"/>
  <c r="AB13" i="4"/>
  <c r="Q15" i="4"/>
  <c r="AC15" i="4" s="1"/>
  <c r="AB18" i="4"/>
  <c r="AC18" i="4" s="1"/>
  <c r="AB19" i="4"/>
  <c r="Q20" i="4"/>
  <c r="AC20" i="4" s="1"/>
  <c r="AC21" i="4"/>
  <c r="AB10" i="4"/>
  <c r="Q4" i="4"/>
  <c r="AB4" i="4"/>
  <c r="Q6" i="4"/>
  <c r="AC6" i="4" s="1"/>
  <c r="Q7" i="4"/>
  <c r="Q8" i="4"/>
  <c r="AC8" i="4" s="1"/>
  <c r="Q10" i="4"/>
  <c r="Q11" i="4"/>
  <c r="AB11" i="4"/>
  <c r="Q12" i="4"/>
  <c r="Q13" i="4"/>
  <c r="T24" i="4"/>
  <c r="Q16" i="4"/>
  <c r="AC16" i="4" s="1"/>
  <c r="Q17" i="4"/>
  <c r="Q19" i="4"/>
  <c r="Q23" i="4"/>
  <c r="E24" i="4"/>
  <c r="U24" i="4"/>
  <c r="U25" i="3"/>
  <c r="W25" i="3"/>
  <c r="X25" i="3"/>
  <c r="AB23" i="5" l="1"/>
  <c r="AC17" i="4"/>
  <c r="AC12" i="4"/>
  <c r="AB24" i="4"/>
  <c r="AC19" i="4"/>
  <c r="AC13" i="4"/>
  <c r="AC10" i="4"/>
  <c r="AC7" i="4"/>
  <c r="R24" i="4"/>
  <c r="AC23" i="4"/>
  <c r="AC11" i="4"/>
  <c r="Q24" i="4"/>
  <c r="AC4" i="4"/>
  <c r="AA24" i="3"/>
  <c r="E24" i="3"/>
  <c r="P24" i="3" s="1"/>
  <c r="AA23" i="3"/>
  <c r="P23" i="3"/>
  <c r="AB23" i="3" s="1"/>
  <c r="AA22" i="3"/>
  <c r="P22" i="3"/>
  <c r="T21" i="3"/>
  <c r="S21" i="3"/>
  <c r="O21" i="3"/>
  <c r="N21" i="3"/>
  <c r="K21" i="3"/>
  <c r="M20" i="3"/>
  <c r="M25" i="3" s="1"/>
  <c r="K20" i="3"/>
  <c r="J20" i="3"/>
  <c r="H20" i="3"/>
  <c r="G20" i="3"/>
  <c r="F20" i="3"/>
  <c r="E20" i="3"/>
  <c r="Z19" i="3"/>
  <c r="Z25" i="3" s="1"/>
  <c r="Y19" i="3"/>
  <c r="T19" i="3"/>
  <c r="S19" i="3"/>
  <c r="R19" i="3"/>
  <c r="Q19" i="3"/>
  <c r="AA19" i="3" s="1"/>
  <c r="O19" i="3"/>
  <c r="N19" i="3"/>
  <c r="P19" i="3" s="1"/>
  <c r="AB19" i="3" s="1"/>
  <c r="K19" i="3"/>
  <c r="T18" i="3"/>
  <c r="S18" i="3"/>
  <c r="R18" i="3"/>
  <c r="Q18" i="3"/>
  <c r="O18" i="3"/>
  <c r="N18" i="3"/>
  <c r="K18" i="3"/>
  <c r="T17" i="3"/>
  <c r="S17" i="3"/>
  <c r="R17" i="3"/>
  <c r="Q17" i="3"/>
  <c r="O17" i="3"/>
  <c r="N17" i="3"/>
  <c r="P17" i="3" s="1"/>
  <c r="K17" i="3"/>
  <c r="T16" i="3"/>
  <c r="S16" i="3"/>
  <c r="Q16" i="3"/>
  <c r="AA16" i="3" s="1"/>
  <c r="O16" i="3"/>
  <c r="N16" i="3"/>
  <c r="K16" i="3"/>
  <c r="T15" i="3"/>
  <c r="S15" i="3"/>
  <c r="R15" i="3"/>
  <c r="Q15" i="3"/>
  <c r="O15" i="3"/>
  <c r="N15" i="3"/>
  <c r="K15" i="3"/>
  <c r="V14" i="3"/>
  <c r="V25" i="3" s="1"/>
  <c r="T14" i="3"/>
  <c r="S14" i="3"/>
  <c r="Q14" i="3"/>
  <c r="O14" i="3"/>
  <c r="L14" i="3"/>
  <c r="K14" i="3"/>
  <c r="T13" i="3"/>
  <c r="S13" i="3"/>
  <c r="Q13" i="3"/>
  <c r="O13" i="3"/>
  <c r="N13" i="3"/>
  <c r="K13" i="3"/>
  <c r="T12" i="3"/>
  <c r="S12" i="3"/>
  <c r="Q12" i="3"/>
  <c r="AA12" i="3" s="1"/>
  <c r="O12" i="3"/>
  <c r="N12" i="3"/>
  <c r="K12" i="3"/>
  <c r="Y11" i="3"/>
  <c r="Y25" i="3" s="1"/>
  <c r="T11" i="3"/>
  <c r="S11" i="3"/>
  <c r="R11" i="3"/>
  <c r="Q11" i="3"/>
  <c r="O11" i="3"/>
  <c r="N11" i="3"/>
  <c r="L11" i="3"/>
  <c r="K11" i="3"/>
  <c r="T10" i="3"/>
  <c r="S10" i="3"/>
  <c r="O10" i="3"/>
  <c r="N10" i="3"/>
  <c r="P10" i="3" s="1"/>
  <c r="T9" i="3"/>
  <c r="AA9" i="3" s="1"/>
  <c r="N9" i="3"/>
  <c r="T8" i="3"/>
  <c r="AA8" i="3" s="1"/>
  <c r="N8" i="3"/>
  <c r="T7" i="3"/>
  <c r="AA7" i="3" s="1"/>
  <c r="N7" i="3"/>
  <c r="K6" i="3"/>
  <c r="J6" i="3"/>
  <c r="J25" i="3" s="1"/>
  <c r="I6" i="3"/>
  <c r="I25" i="3" s="1"/>
  <c r="H6" i="3"/>
  <c r="H25" i="3" s="1"/>
  <c r="G6" i="3"/>
  <c r="G25" i="3" s="1"/>
  <c r="F6" i="3"/>
  <c r="F25" i="3" s="1"/>
  <c r="E6" i="3"/>
  <c r="E25" i="3" s="1"/>
  <c r="T5" i="3"/>
  <c r="AA5" i="3" s="1"/>
  <c r="AB5" i="3" s="1"/>
  <c r="P5" i="3"/>
  <c r="T4" i="3"/>
  <c r="AA4" i="3" s="1"/>
  <c r="P4" i="3"/>
  <c r="T3" i="3"/>
  <c r="P3" i="3"/>
  <c r="AA3" i="3" l="1"/>
  <c r="R25" i="3"/>
  <c r="AC24" i="4"/>
  <c r="K25" i="3"/>
  <c r="L25" i="3"/>
  <c r="P14" i="3"/>
  <c r="AA15" i="3"/>
  <c r="AB4" i="3"/>
  <c r="P8" i="3"/>
  <c r="AB8" i="3" s="1"/>
  <c r="AA13" i="3"/>
  <c r="AA14" i="3"/>
  <c r="P15" i="3"/>
  <c r="AB15" i="3" s="1"/>
  <c r="P18" i="3"/>
  <c r="AA18" i="3"/>
  <c r="AA21" i="3"/>
  <c r="S20" i="3"/>
  <c r="S25" i="3" s="1"/>
  <c r="AA10" i="3"/>
  <c r="AB10" i="3" s="1"/>
  <c r="P11" i="3"/>
  <c r="AA11" i="3"/>
  <c r="AB14" i="3"/>
  <c r="AB3" i="3"/>
  <c r="N25" i="3"/>
  <c r="T6" i="3"/>
  <c r="AA6" i="3" s="1"/>
  <c r="P7" i="3"/>
  <c r="AB7" i="3" s="1"/>
  <c r="P9" i="3"/>
  <c r="AB9" i="3" s="1"/>
  <c r="P12" i="3"/>
  <c r="AB12" i="3" s="1"/>
  <c r="P13" i="3"/>
  <c r="AB13" i="3" s="1"/>
  <c r="P16" i="3"/>
  <c r="AB16" i="3" s="1"/>
  <c r="AA17" i="3"/>
  <c r="AB17" i="3" s="1"/>
  <c r="AB24" i="3"/>
  <c r="Q20" i="3"/>
  <c r="Q25" i="3" s="1"/>
  <c r="T20" i="3"/>
  <c r="P21" i="3"/>
  <c r="AB21" i="3" s="1"/>
  <c r="AB22" i="3"/>
  <c r="X26" i="2"/>
  <c r="W26" i="2"/>
  <c r="U26" i="2"/>
  <c r="N26" i="2"/>
  <c r="M26" i="2"/>
  <c r="K26" i="2"/>
  <c r="J26" i="2"/>
  <c r="I26" i="2"/>
  <c r="H26" i="2"/>
  <c r="G26" i="2"/>
  <c r="F26" i="2"/>
  <c r="AA25" i="2"/>
  <c r="E25" i="2"/>
  <c r="E26" i="2" s="1"/>
  <c r="AA24" i="2"/>
  <c r="P24" i="2"/>
  <c r="AA23" i="2"/>
  <c r="P23" i="2"/>
  <c r="T22" i="2"/>
  <c r="S22" i="2"/>
  <c r="O22" i="2"/>
  <c r="P22" i="2" s="1"/>
  <c r="T21" i="2"/>
  <c r="S21" i="2"/>
  <c r="Q21" i="2"/>
  <c r="O21" i="2"/>
  <c r="P21" i="2" s="1"/>
  <c r="Z20" i="2"/>
  <c r="Z26" i="2" s="1"/>
  <c r="Y20" i="2"/>
  <c r="T20" i="2"/>
  <c r="S20" i="2"/>
  <c r="R20" i="2"/>
  <c r="Q20" i="2"/>
  <c r="O20" i="2"/>
  <c r="T19" i="2"/>
  <c r="S19" i="2"/>
  <c r="R19" i="2"/>
  <c r="Q19" i="2"/>
  <c r="O19" i="2"/>
  <c r="T18" i="2"/>
  <c r="S18" i="2"/>
  <c r="R18" i="2"/>
  <c r="Q18" i="2"/>
  <c r="O18" i="2"/>
  <c r="T17" i="2"/>
  <c r="S17" i="2"/>
  <c r="Q17" i="2"/>
  <c r="O17" i="2"/>
  <c r="P17" i="2" s="1"/>
  <c r="T16" i="2"/>
  <c r="S16" i="2"/>
  <c r="R16" i="2"/>
  <c r="Q16" i="2"/>
  <c r="O16" i="2"/>
  <c r="P16" i="2" s="1"/>
  <c r="V15" i="2"/>
  <c r="V26" i="2" s="1"/>
  <c r="T15" i="2"/>
  <c r="S15" i="2"/>
  <c r="Q15" i="2"/>
  <c r="O15" i="2"/>
  <c r="L15" i="2"/>
  <c r="T14" i="2"/>
  <c r="S14" i="2"/>
  <c r="Q14" i="2"/>
  <c r="O14" i="2"/>
  <c r="T13" i="2"/>
  <c r="S13" i="2"/>
  <c r="Q13" i="2"/>
  <c r="O13" i="2"/>
  <c r="Y12" i="2"/>
  <c r="Y26" i="2" s="1"/>
  <c r="T12" i="2"/>
  <c r="S12" i="2"/>
  <c r="R12" i="2"/>
  <c r="Q12" i="2"/>
  <c r="O12" i="2"/>
  <c r="L12" i="2"/>
  <c r="T11" i="2"/>
  <c r="S11" i="2"/>
  <c r="O11" i="2"/>
  <c r="T10" i="2"/>
  <c r="AA10" i="2" s="1"/>
  <c r="O10" i="2"/>
  <c r="P10" i="2" s="1"/>
  <c r="T9" i="2"/>
  <c r="AA9" i="2" s="1"/>
  <c r="O9" i="2"/>
  <c r="T8" i="2"/>
  <c r="AA8" i="2" s="1"/>
  <c r="O8" i="2"/>
  <c r="P8" i="2" s="1"/>
  <c r="T7" i="2"/>
  <c r="AA7" i="2" s="1"/>
  <c r="O7" i="2"/>
  <c r="T6" i="2"/>
  <c r="AA6" i="2" s="1"/>
  <c r="P6" i="2"/>
  <c r="T5" i="2"/>
  <c r="AA5" i="2" s="1"/>
  <c r="P5" i="2"/>
  <c r="T4" i="2"/>
  <c r="AA4" i="2" s="1"/>
  <c r="P4" i="2"/>
  <c r="T25" i="3" l="1"/>
  <c r="AB8" i="2"/>
  <c r="AB10" i="2"/>
  <c r="AA20" i="2"/>
  <c r="AB18" i="3"/>
  <c r="P6" i="3"/>
  <c r="AA20" i="3"/>
  <c r="AA25" i="3" s="1"/>
  <c r="P20" i="3"/>
  <c r="P25" i="3" s="1"/>
  <c r="AB11" i="3"/>
  <c r="O25" i="3"/>
  <c r="O26" i="2"/>
  <c r="R26" i="2"/>
  <c r="AA15" i="2"/>
  <c r="AA19" i="2"/>
  <c r="AA21" i="2"/>
  <c r="AB21" i="2" s="1"/>
  <c r="AB5" i="2"/>
  <c r="AB6" i="2"/>
  <c r="P7" i="2"/>
  <c r="AB7" i="2" s="1"/>
  <c r="P9" i="2"/>
  <c r="AB9" i="2" s="1"/>
  <c r="P11" i="2"/>
  <c r="L26" i="2"/>
  <c r="Q26" i="2"/>
  <c r="P13" i="2"/>
  <c r="AA13" i="2"/>
  <c r="P14" i="2"/>
  <c r="AA14" i="2"/>
  <c r="AA16" i="2"/>
  <c r="AB16" i="2" s="1"/>
  <c r="AA17" i="2"/>
  <c r="AB17" i="2" s="1"/>
  <c r="AA18" i="2"/>
  <c r="P19" i="2"/>
  <c r="AB19" i="2" s="1"/>
  <c r="AA22" i="2"/>
  <c r="AB22" i="2" s="1"/>
  <c r="AB24" i="2"/>
  <c r="P12" i="2"/>
  <c r="AA12" i="2"/>
  <c r="T26" i="2"/>
  <c r="AB4" i="2"/>
  <c r="S26" i="2"/>
  <c r="AA11" i="2"/>
  <c r="P15" i="2"/>
  <c r="AB15" i="2" s="1"/>
  <c r="AB23" i="2"/>
  <c r="P18" i="2"/>
  <c r="P20" i="2"/>
  <c r="P25" i="2"/>
  <c r="Y26" i="1"/>
  <c r="X26" i="1"/>
  <c r="V26" i="1"/>
  <c r="N26" i="1"/>
  <c r="K26" i="1"/>
  <c r="J26" i="1"/>
  <c r="I26" i="1"/>
  <c r="G26" i="1"/>
  <c r="F26" i="1"/>
  <c r="AB25" i="1"/>
  <c r="E25" i="1"/>
  <c r="Q25" i="1" s="1"/>
  <c r="AB24" i="1"/>
  <c r="Q24" i="1"/>
  <c r="AB23" i="1"/>
  <c r="Q23" i="1"/>
  <c r="U22" i="1"/>
  <c r="T22" i="1"/>
  <c r="P22" i="1"/>
  <c r="O22" i="1"/>
  <c r="L22" i="1"/>
  <c r="H22" i="1"/>
  <c r="U21" i="1"/>
  <c r="T21" i="1"/>
  <c r="R21" i="1"/>
  <c r="P21" i="1"/>
  <c r="O21" i="1"/>
  <c r="L21" i="1"/>
  <c r="H21" i="1"/>
  <c r="AA20" i="1"/>
  <c r="AA26" i="1" s="1"/>
  <c r="Z20" i="1"/>
  <c r="U20" i="1"/>
  <c r="T20" i="1"/>
  <c r="S20" i="1"/>
  <c r="R20" i="1"/>
  <c r="P20" i="1"/>
  <c r="O20" i="1"/>
  <c r="L20" i="1"/>
  <c r="H20" i="1"/>
  <c r="U19" i="1"/>
  <c r="T19" i="1"/>
  <c r="S19" i="1"/>
  <c r="R19" i="1"/>
  <c r="P19" i="1"/>
  <c r="O19" i="1"/>
  <c r="L19" i="1"/>
  <c r="H19" i="1"/>
  <c r="U18" i="1"/>
  <c r="T18" i="1"/>
  <c r="S18" i="1"/>
  <c r="R18" i="1"/>
  <c r="P18" i="1"/>
  <c r="O18" i="1"/>
  <c r="L18" i="1"/>
  <c r="H18" i="1"/>
  <c r="U17" i="1"/>
  <c r="T17" i="1"/>
  <c r="R17" i="1"/>
  <c r="P17" i="1"/>
  <c r="O17" i="1"/>
  <c r="L17" i="1"/>
  <c r="H17" i="1"/>
  <c r="U16" i="1"/>
  <c r="T16" i="1"/>
  <c r="S16" i="1"/>
  <c r="R16" i="1"/>
  <c r="P16" i="1"/>
  <c r="O16" i="1"/>
  <c r="L16" i="1"/>
  <c r="H16" i="1"/>
  <c r="W15" i="1"/>
  <c r="W26" i="1" s="1"/>
  <c r="U15" i="1"/>
  <c r="T15" i="1"/>
  <c r="R15" i="1"/>
  <c r="P15" i="1"/>
  <c r="O15" i="1"/>
  <c r="M15" i="1"/>
  <c r="L15" i="1"/>
  <c r="H15" i="1"/>
  <c r="U14" i="1"/>
  <c r="T14" i="1"/>
  <c r="R14" i="1"/>
  <c r="P14" i="1"/>
  <c r="O14" i="1"/>
  <c r="L14" i="1"/>
  <c r="H14" i="1"/>
  <c r="U13" i="1"/>
  <c r="T13" i="1"/>
  <c r="R13" i="1"/>
  <c r="P13" i="1"/>
  <c r="O13" i="1"/>
  <c r="L13" i="1"/>
  <c r="H13" i="1"/>
  <c r="Z12" i="1"/>
  <c r="U12" i="1"/>
  <c r="T12" i="1"/>
  <c r="S12" i="1"/>
  <c r="R12" i="1"/>
  <c r="P12" i="1"/>
  <c r="O12" i="1"/>
  <c r="M12" i="1"/>
  <c r="M26" i="1" s="1"/>
  <c r="L12" i="1"/>
  <c r="H12" i="1"/>
  <c r="U11" i="1"/>
  <c r="T11" i="1"/>
  <c r="P11" i="1"/>
  <c r="O11" i="1"/>
  <c r="H11" i="1"/>
  <c r="U10" i="1"/>
  <c r="AB10" i="1" s="1"/>
  <c r="P10" i="1"/>
  <c r="O10" i="1"/>
  <c r="U9" i="1"/>
  <c r="AB9" i="1" s="1"/>
  <c r="P9" i="1"/>
  <c r="O9" i="1"/>
  <c r="U8" i="1"/>
  <c r="AB8" i="1" s="1"/>
  <c r="P8" i="1"/>
  <c r="O8" i="1"/>
  <c r="U7" i="1"/>
  <c r="AB7" i="1" s="1"/>
  <c r="P7" i="1"/>
  <c r="O7" i="1"/>
  <c r="U6" i="1"/>
  <c r="AB6" i="1" s="1"/>
  <c r="P6" i="1"/>
  <c r="U5" i="1"/>
  <c r="AB5" i="1" s="1"/>
  <c r="P5" i="1"/>
  <c r="U4" i="1"/>
  <c r="P4" i="1"/>
  <c r="Q4" i="1" s="1"/>
  <c r="AB20" i="2" l="1"/>
  <c r="AB11" i="2"/>
  <c r="AB14" i="2"/>
  <c r="AB13" i="2"/>
  <c r="AB18" i="2"/>
  <c r="H26" i="1"/>
  <c r="L26" i="1"/>
  <c r="Z26" i="1"/>
  <c r="AB15" i="1"/>
  <c r="AC24" i="1"/>
  <c r="AB20" i="3"/>
  <c r="AB6" i="3"/>
  <c r="AB25" i="2"/>
  <c r="AA26" i="2"/>
  <c r="AB12" i="2"/>
  <c r="P26" i="2"/>
  <c r="S26" i="1"/>
  <c r="AB13" i="1"/>
  <c r="AB17" i="1"/>
  <c r="Q18" i="1"/>
  <c r="AB18" i="1"/>
  <c r="Q20" i="1"/>
  <c r="AB20" i="1"/>
  <c r="U26" i="1"/>
  <c r="Q10" i="1"/>
  <c r="AC10" i="1" s="1"/>
  <c r="T26" i="1"/>
  <c r="AB14" i="1"/>
  <c r="AB16" i="1"/>
  <c r="Q19" i="1"/>
  <c r="AB19" i="1"/>
  <c r="AB21" i="1"/>
  <c r="Q5" i="1"/>
  <c r="AC5" i="1" s="1"/>
  <c r="Q6" i="1"/>
  <c r="AC6" i="1" s="1"/>
  <c r="AB4" i="1"/>
  <c r="Q8" i="1"/>
  <c r="AC8" i="1" s="1"/>
  <c r="Q9" i="1"/>
  <c r="AC9" i="1" s="1"/>
  <c r="P26" i="1"/>
  <c r="O26" i="1"/>
  <c r="Q7" i="1"/>
  <c r="AB11" i="1"/>
  <c r="Q12" i="1"/>
  <c r="AB12" i="1"/>
  <c r="Q14" i="1"/>
  <c r="AC14" i="1" s="1"/>
  <c r="Q15" i="1"/>
  <c r="AC15" i="1" s="1"/>
  <c r="Q16" i="1"/>
  <c r="Q17" i="1"/>
  <c r="AC19" i="1"/>
  <c r="Q22" i="1"/>
  <c r="AC23" i="1"/>
  <c r="Q11" i="1"/>
  <c r="R26" i="1"/>
  <c r="Q13" i="1"/>
  <c r="AC13" i="1" s="1"/>
  <c r="AB22" i="1"/>
  <c r="AC25" i="1"/>
  <c r="E26" i="1"/>
  <c r="Q21" i="1"/>
  <c r="AB25" i="3" l="1"/>
  <c r="AC21" i="1"/>
  <c r="AC17" i="1"/>
  <c r="AB26" i="1"/>
  <c r="AC20" i="1"/>
  <c r="AC18" i="1"/>
  <c r="Q26" i="1"/>
  <c r="AB26" i="2"/>
  <c r="AC16" i="1"/>
  <c r="AC7" i="1"/>
  <c r="AC11" i="1"/>
  <c r="AC22" i="1"/>
  <c r="AC12" i="1"/>
  <c r="AC4" i="1"/>
  <c r="AC26" i="1" l="1"/>
</calcChain>
</file>

<file path=xl/sharedStrings.xml><?xml version="1.0" encoding="utf-8"?>
<sst xmlns="http://schemas.openxmlformats.org/spreadsheetml/2006/main" count="1820" uniqueCount="136">
  <si>
    <t>PLANTILLA DE PERSONAL DEL 01/01/2024 AL 15/01/2024</t>
  </si>
  <si>
    <t>NOMBRE DEL TRABAJADOR</t>
  </si>
  <si>
    <t xml:space="preserve">NIVEL </t>
  </si>
  <si>
    <t>SUELDO BASE</t>
  </si>
  <si>
    <t>DESPENSA</t>
  </si>
  <si>
    <t>APOYO ECONOMÍA FAMILIAR</t>
  </si>
  <si>
    <t>APOYO ECONOMÍA FAMILIAR RETRO</t>
  </si>
  <si>
    <t>VIDA CARA</t>
  </si>
  <si>
    <t>BONO DEL 8-13</t>
  </si>
  <si>
    <t>BONO Q1</t>
  </si>
  <si>
    <t>TRANSPORTE Q1</t>
  </si>
  <si>
    <t>QUI NQUENIO</t>
  </si>
  <si>
    <t>APOYO ECONÓMICO PARA EL AHORRO</t>
  </si>
  <si>
    <t>PUNTUALIDAD Y ASISTENCIA</t>
  </si>
  <si>
    <t>BONO POR AJUSTE</t>
  </si>
  <si>
    <t>CUOTA SINDICAL</t>
  </si>
  <si>
    <t>CAJA DE AHORRO SIND</t>
  </si>
  <si>
    <t>FONDO DE AHORRO</t>
  </si>
  <si>
    <t>PENSIONES BUROCRATAS</t>
  </si>
  <si>
    <t>ISR</t>
  </si>
  <si>
    <t>PREST.HIP ESPECIAL</t>
  </si>
  <si>
    <t>PRESTAMO PERSONAL</t>
  </si>
  <si>
    <t>PRESTAMO CORTO PLAZO</t>
  </si>
  <si>
    <t>HILARIO FLORES FILEMON</t>
  </si>
  <si>
    <t>RAMIREZ ROJAS JUAN PABLO</t>
  </si>
  <si>
    <t>HUAPILLA REYES VICTOR ALFONSO</t>
  </si>
  <si>
    <t>GUTIERREZ RODRIGUEZ SERGIO A.</t>
  </si>
  <si>
    <t>VAZQUEZ MEDINA MARIBEL DEL R</t>
  </si>
  <si>
    <t>ZUÑIGA MARTINEZ MARIBEL</t>
  </si>
  <si>
    <t>RODRIGUEZ SANDOVAL JORGE</t>
  </si>
  <si>
    <t>OREA ANDRADE SERGIO HIRAM</t>
  </si>
  <si>
    <t>MARTINEZ CERINO SARA</t>
  </si>
  <si>
    <t>SANCHEZ MEZA MARIA DEL ROSARIO ELIZABETH</t>
  </si>
  <si>
    <t>FRANCO MEDINA CLAUDIA</t>
  </si>
  <si>
    <t>SIERRA MIRANDA EZEQUIEL</t>
  </si>
  <si>
    <t>ENRIQUEZ POZOS JULIO CESAR</t>
  </si>
  <si>
    <t>RODRIGO SORIA MYRNA ARACELY</t>
  </si>
  <si>
    <t>ALVARADO SILVA GUSTAVO ADOLFO</t>
  </si>
  <si>
    <t>MORENO BERNAL JUAN DE DIOS</t>
  </si>
  <si>
    <t>SAENZ CANO HECTOR MISAEL</t>
  </si>
  <si>
    <t>HERNANDEZ HERNANDEZ ABRAHAM MARTIN</t>
  </si>
  <si>
    <t xml:space="preserve">AYALA ESQUIVEL BERENICE ALEJANDRA </t>
  </si>
  <si>
    <t xml:space="preserve">GLORIA DOMINGUEZ ANDREA ALEJANDRA </t>
  </si>
  <si>
    <t>CARRANCO MURIEL MARIAJOSE</t>
  </si>
  <si>
    <t>HA</t>
  </si>
  <si>
    <t>DIAZ FLORES FRANCISCO SALVADOR</t>
  </si>
  <si>
    <t>TOTAL</t>
  </si>
  <si>
    <t>PREVISIÓN SOCIAL</t>
  </si>
  <si>
    <t>AYUDA TRANSPORTE</t>
  </si>
  <si>
    <t>APOYO A SERVICIOS</t>
  </si>
  <si>
    <t>COMPENSACIÓN MENSUAL</t>
  </si>
  <si>
    <t>BONO DEL 1-7</t>
  </si>
  <si>
    <t>BONO MENSUAL DEL 7-13</t>
  </si>
  <si>
    <t>DESPENSA Q2</t>
  </si>
  <si>
    <t xml:space="preserve">BECA ESCOLAR PARA HIJOS DE TRABAJADORES </t>
  </si>
  <si>
    <t xml:space="preserve">BONO DE EQUILIBRIO </t>
  </si>
  <si>
    <t>PLANTILLA DE PERSONAL DEL 16/01/2024 AL 31/01/2024</t>
  </si>
  <si>
    <t>PLANTILLA DE PERSONAL DEL 01/02/2023 AL 15/02/2023</t>
  </si>
  <si>
    <t xml:space="preserve">BONO SEMESTRAL </t>
  </si>
  <si>
    <t xml:space="preserve">BONO ANUAL DE SUPERACION </t>
  </si>
  <si>
    <t>PLANTILLA DE PERSONAL DEL 16/02/2023 AL 29/02/2023</t>
  </si>
  <si>
    <t>BONO DE EQUILIBRIO</t>
  </si>
  <si>
    <t>PLANTILLA DE PERSONAL DEL 01/03/2024 AL 15/03/2024</t>
  </si>
  <si>
    <t>PLANTILLA DE PERSONAL DEL 16/03/2024 AL 31/03/2024</t>
  </si>
  <si>
    <t>PLANTILLA DE PERSONAL DEL 01/04/2024 AL 15/04/2024</t>
  </si>
  <si>
    <t>BONO ANUAL POR DESEMPEÑO</t>
  </si>
  <si>
    <t>PLANTILLA DE PERSONAL DEL 16/04/2024 AL 30/04/2024</t>
  </si>
  <si>
    <t>PLANTILLA DE PERSONAL DEL 01/05/2023 AL 15/05/2023</t>
  </si>
  <si>
    <t>BONO DIA DE LA MADRE</t>
  </si>
  <si>
    <t>BONO ANUAL DE SUPERACION</t>
  </si>
  <si>
    <t xml:space="preserve">ESTIMULO A LA PROFESIONALIZACION </t>
  </si>
  <si>
    <t>APOYO COMPRA DE LIBROS</t>
  </si>
  <si>
    <t>PLANTILLA DE PERSONAL DEL 16/05/2023 AL 31/05/2024</t>
  </si>
  <si>
    <t>BONO SEMESTRAL</t>
  </si>
  <si>
    <t>PRIMA VACACIONAL GRAVADA</t>
  </si>
  <si>
    <t>PRIMA VACACIONAL EXENTA</t>
  </si>
  <si>
    <t>BONO DIA DEL PADRE</t>
  </si>
  <si>
    <t>PLANTILLA DE PERSONAL DEL 01/06/2024 AL 15/06/2024</t>
  </si>
  <si>
    <t>PREMIO DE ANTIGÜEDAD</t>
  </si>
  <si>
    <t>PLANTILLA DE PERSONAL DEL 16/06/2024 AL 30/06/2024</t>
  </si>
  <si>
    <t>PLANTILLA DE PERSONAL DEL 01/07/2024 AL 15/07/2024</t>
  </si>
  <si>
    <t xml:space="preserve">BONO APOYO A LA EDUCACION </t>
  </si>
  <si>
    <t>PLANTILLA DE PERSONAL DEL 16/07/2024 AL 31/07/2024</t>
  </si>
  <si>
    <t>PRESTAMO VIVIENDA</t>
  </si>
  <si>
    <t>PRESTAMO AUTOMOVIL</t>
  </si>
  <si>
    <t>TOTAL DEDUCCIONES</t>
  </si>
  <si>
    <t xml:space="preserve">NETO A PAGAR </t>
  </si>
  <si>
    <t>C</t>
  </si>
  <si>
    <t>BC</t>
  </si>
  <si>
    <t>BS</t>
  </si>
  <si>
    <t>E</t>
  </si>
  <si>
    <t>CONFIANZA</t>
  </si>
  <si>
    <t>BASE CONFIANZA</t>
  </si>
  <si>
    <t>BASE SINDICALIZABLE</t>
  </si>
  <si>
    <t>EVENTUAL</t>
  </si>
  <si>
    <t>HONORARIOS ASIMILABLES</t>
  </si>
  <si>
    <t>SUB- TOTAL BRUTO</t>
  </si>
  <si>
    <t>PLANTILLA DE PERSONAL DEL 01/08/2024 AL 15/08/2024</t>
  </si>
  <si>
    <t>BONO DEL ADMINISTRATIVO</t>
  </si>
  <si>
    <t>PLANTILLA DE PERSONAL DEL 16/08/2024 AL 31/08/2024</t>
  </si>
  <si>
    <t>PLANTILLA DE PERSONAL DEL 01/09/2024 AL 15/09/2024</t>
  </si>
  <si>
    <t>BONO FORTALECIMIENTO ECONOMICO</t>
  </si>
  <si>
    <t>PLANTILLA DE PERSONAL DEL 16/09/2024 AL 30/09/2024</t>
  </si>
  <si>
    <t>PLANTILLA DE PERSONAL DEL 01/10/2024 AL 15/10/2024</t>
  </si>
  <si>
    <t>BONO POR CAPACITACION</t>
  </si>
  <si>
    <t>PLANTILLA DE PERSONAL DEL 16/10/2024 AL 31/10/2024</t>
  </si>
  <si>
    <t>PREVISION SOCIAL</t>
  </si>
  <si>
    <t>APOYO ECONOMIA FAMILIAR</t>
  </si>
  <si>
    <t>TOTAL PREVISION SOCIAL</t>
  </si>
  <si>
    <t>P.S. EXENTA</t>
  </si>
  <si>
    <t>P.S. GRAVADA SE DISMINUYE DE LA DESPENSA</t>
  </si>
  <si>
    <t>DESPENSA EXENTA</t>
  </si>
  <si>
    <t>PLANTILLA DE PERSONAL DEL 01/11/2024 AL 15/11/2024</t>
  </si>
  <si>
    <t>REYES HERNANDEZ BERNARDA</t>
  </si>
  <si>
    <t>PLANTILLA DE PERSONAL DEL 16/11/2024 AL 30/11/2024</t>
  </si>
  <si>
    <t>BERNARDA REYES HERNANDEZ</t>
  </si>
  <si>
    <t>PLANTILLA DE PERSONAL DEL 01/02/2024 AL 31/12/2024</t>
  </si>
  <si>
    <t>INCREMENTO 2.1%</t>
  </si>
  <si>
    <t>NUEVO SUELDO</t>
  </si>
  <si>
    <t>BONO SEMESTRAL (2 EXHIBICIONES)</t>
  </si>
  <si>
    <t xml:space="preserve">BONO DE EQUILIBRIO  </t>
  </si>
  <si>
    <t>PRIMA VACACIONAL</t>
  </si>
  <si>
    <t>PLANTILLA DE PERSONAL DEL 01/01/2024 AL 31/12/2024</t>
  </si>
  <si>
    <t>SUELDO MENSUAL</t>
  </si>
  <si>
    <t>AGUINALDO GRAVADO</t>
  </si>
  <si>
    <t>AGUINALDO EXENTO</t>
  </si>
  <si>
    <t>prestacion ise</t>
  </si>
  <si>
    <t xml:space="preserve">OREA ANDRADE SERGIO HIRAM </t>
  </si>
  <si>
    <t>PLANTILLA DE PERSONAL DEL 01/12/2024 AL 15/12/2024</t>
  </si>
  <si>
    <t>SUELDO BASE ANTES DE INCREMENTO</t>
  </si>
  <si>
    <t>SUELDO MENSUAL ANTES DE INCREMENTO</t>
  </si>
  <si>
    <t>SUELDO BASE CON INCREMENTO</t>
  </si>
  <si>
    <t>SUELDO MENSUAL CON INCREMENTO</t>
  </si>
  <si>
    <t>BONO NAVIDEÑO</t>
  </si>
  <si>
    <t>PLANTILLA DE PERSONAL DEL 16/12/2024 AL 31/12/2024</t>
  </si>
  <si>
    <t>PRESTAMO CAJA DE AHORRO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</si>
</sst>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6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vertical="center"/>
    </xf>
    <xf numFmtId="43" fontId="0" fillId="0" borderId="0" xfId="1" applyFont="1"/>
    <xf numFmtId="0" fontId="9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justify" wrapText="1"/>
    </xf>
    <xf numFmtId="0" fontId="11" fillId="0" borderId="1" xfId="0" applyFont="1" applyFill="1" applyBorder="1" applyAlignment="1">
      <alignment horizontal="center" vertical="justify" wrapText="1"/>
    </xf>
    <xf numFmtId="44" fontId="5" fillId="0" borderId="8" xfId="2" applyFont="1" applyFill="1" applyBorder="1" applyAlignment="1">
      <alignment horizontal="center" wrapText="1"/>
    </xf>
    <xf numFmtId="44" fontId="5" fillId="0" borderId="1" xfId="2" applyFont="1" applyFill="1" applyBorder="1" applyAlignment="1">
      <alignment horizontal="center" wrapText="1"/>
    </xf>
    <xf numFmtId="44" fontId="5" fillId="0" borderId="1" xfId="2" applyFont="1" applyFill="1" applyBorder="1" applyAlignment="1">
      <alignment horizontal="center" vertical="center"/>
    </xf>
    <xf numFmtId="44" fontId="5" fillId="0" borderId="2" xfId="2" applyFont="1" applyFill="1" applyBorder="1" applyAlignment="1">
      <alignment horizontal="center" wrapText="1"/>
    </xf>
    <xf numFmtId="44" fontId="5" fillId="0" borderId="9" xfId="2" applyFont="1" applyFill="1" applyBorder="1" applyAlignment="1">
      <alignment horizontal="center" wrapText="1"/>
    </xf>
    <xf numFmtId="4" fontId="5" fillId="0" borderId="2" xfId="0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wrapText="1"/>
    </xf>
    <xf numFmtId="44" fontId="5" fillId="0" borderId="10" xfId="2" applyFont="1" applyFill="1" applyBorder="1" applyAlignment="1">
      <alignment horizontal="center" wrapText="1"/>
    </xf>
    <xf numFmtId="44" fontId="0" fillId="0" borderId="0" xfId="0" applyNumberFormat="1"/>
    <xf numFmtId="44" fontId="5" fillId="0" borderId="1" xfId="2" applyFont="1" applyFill="1" applyBorder="1" applyAlignment="1">
      <alignment horizontal="center"/>
    </xf>
    <xf numFmtId="44" fontId="5" fillId="0" borderId="2" xfId="2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4" fontId="5" fillId="0" borderId="11" xfId="2" applyFont="1" applyFill="1" applyBorder="1" applyAlignment="1">
      <alignment horizontal="center" vertical="center"/>
    </xf>
    <xf numFmtId="44" fontId="5" fillId="0" borderId="11" xfId="2" applyFont="1" applyFill="1" applyBorder="1" applyAlignment="1">
      <alignment horizontal="center"/>
    </xf>
    <xf numFmtId="44" fontId="5" fillId="0" borderId="12" xfId="2" applyFont="1" applyFill="1" applyBorder="1" applyAlignment="1">
      <alignment horizontal="center"/>
    </xf>
    <xf numFmtId="44" fontId="5" fillId="0" borderId="11" xfId="0" applyNumberFormat="1" applyFont="1" applyFill="1" applyBorder="1"/>
    <xf numFmtId="0" fontId="11" fillId="0" borderId="8" xfId="0" applyFont="1" applyFill="1" applyBorder="1" applyAlignment="1">
      <alignment horizontal="center" vertical="justify" wrapText="1"/>
    </xf>
    <xf numFmtId="44" fontId="5" fillId="0" borderId="11" xfId="2" applyFont="1" applyFill="1" applyBorder="1" applyAlignment="1">
      <alignment horizontal="center" wrapText="1"/>
    </xf>
    <xf numFmtId="4" fontId="5" fillId="0" borderId="12" xfId="0" applyNumberFormat="1" applyFont="1" applyFill="1" applyBorder="1" applyAlignment="1">
      <alignment horizontal="center"/>
    </xf>
    <xf numFmtId="4" fontId="5" fillId="0" borderId="1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" fontId="12" fillId="3" borderId="13" xfId="0" applyNumberFormat="1" applyFont="1" applyFill="1" applyBorder="1" applyAlignment="1">
      <alignment horizontal="center" vertical="center"/>
    </xf>
    <xf numFmtId="4" fontId="13" fillId="0" borderId="0" xfId="0" applyNumberFormat="1" applyFont="1"/>
    <xf numFmtId="4" fontId="0" fillId="0" borderId="0" xfId="0" applyNumberFormat="1"/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4" fontId="5" fillId="0" borderId="1" xfId="0" applyNumberFormat="1" applyFont="1" applyFill="1" applyBorder="1"/>
    <xf numFmtId="44" fontId="5" fillId="0" borderId="2" xfId="2" applyFont="1" applyFill="1" applyBorder="1" applyAlignment="1">
      <alignment horizontal="center" vertical="center"/>
    </xf>
    <xf numFmtId="44" fontId="5" fillId="0" borderId="12" xfId="0" applyNumberFormat="1" applyFont="1" applyFill="1" applyBorder="1"/>
    <xf numFmtId="44" fontId="5" fillId="0" borderId="12" xfId="2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0" borderId="0" xfId="0" applyFill="1"/>
    <xf numFmtId="4" fontId="5" fillId="0" borderId="1" xfId="0" applyNumberFormat="1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0" fillId="0" borderId="0" xfId="0" applyNumberFormat="1"/>
    <xf numFmtId="0" fontId="10" fillId="2" borderId="0" xfId="0" applyFont="1" applyFill="1" applyAlignment="1">
      <alignment horizontal="center" vertical="center" wrapText="1"/>
    </xf>
    <xf numFmtId="4" fontId="12" fillId="3" borderId="0" xfId="0" applyNumberFormat="1" applyFont="1" applyFill="1" applyAlignment="1">
      <alignment horizontal="center" vertical="center"/>
    </xf>
    <xf numFmtId="43" fontId="5" fillId="0" borderId="2" xfId="1" applyFont="1" applyFill="1" applyBorder="1" applyAlignment="1">
      <alignment horizontal="center" vertical="center"/>
    </xf>
    <xf numFmtId="164" fontId="13" fillId="0" borderId="0" xfId="0" applyNumberFormat="1" applyFont="1"/>
    <xf numFmtId="0" fontId="5" fillId="2" borderId="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01"/>
      <sheetName val="ENERO 02"/>
      <sheetName val="FEBRERO 03"/>
      <sheetName val="FEBRERO 04"/>
      <sheetName val="MARZO 05"/>
      <sheetName val="MARZO 06"/>
      <sheetName val="ABRIL 07"/>
      <sheetName val="ABRIL 08"/>
      <sheetName val="MAYO 09"/>
      <sheetName val="MAYO 10"/>
      <sheetName val="JUNIO 11"/>
      <sheetName val="JUNIO 12"/>
      <sheetName val="JULIO 13"/>
      <sheetName val="JULIO 14"/>
      <sheetName val="AGOSTO 15"/>
      <sheetName val="AGOSTO 16"/>
      <sheetName val="SEPTIEMBRE 17"/>
      <sheetName val="SEPTIEMBRE 18"/>
      <sheetName val="OCTUBRE 19"/>
      <sheetName val="OCTUBRE 20"/>
      <sheetName val="NOVIEMBRE 21"/>
      <sheetName val="NOVIEMBRE 22"/>
      <sheetName val="FINIQUITO "/>
      <sheetName val="FINIQUITO  CON FORMATO"/>
      <sheetName val="INCREMENTO "/>
      <sheetName val="AGUINALDO"/>
      <sheetName val="DICIEMBRE 23"/>
      <sheetName val="DICIEMBRE 24"/>
      <sheetName val="NOMINA JULIO CESAR"/>
      <sheetName val="ACUMULADO"/>
      <sheetName val="COSTO TOTAL"/>
      <sheetName val="SALDO EN BANCOS Y CONTABILIDAD"/>
      <sheetName val="ACUMULADO POR PRESTACION "/>
      <sheetName val="ACUMULADO POR NIVEL "/>
      <sheetName val="SOLICITADO GASTADO"/>
      <sheetName val="ASISTENCIA PARA AGUINALDO"/>
      <sheetName val="Hoja1"/>
    </sheetNames>
    <sheetDataSet>
      <sheetData sheetId="0"/>
      <sheetData sheetId="1"/>
      <sheetData sheetId="2"/>
      <sheetData sheetId="3"/>
      <sheetData sheetId="4">
        <row r="33">
          <cell r="P33"/>
        </row>
      </sheetData>
      <sheetData sheetId="5">
        <row r="33">
          <cell r="O33">
            <v>721027.98063510144</v>
          </cell>
        </row>
      </sheetData>
      <sheetData sheetId="6">
        <row r="33">
          <cell r="P33"/>
        </row>
      </sheetData>
      <sheetData sheetId="7">
        <row r="33">
          <cell r="P33">
            <v>681954.29043532023</v>
          </cell>
        </row>
      </sheetData>
      <sheetData sheetId="8">
        <row r="33">
          <cell r="Q33"/>
        </row>
      </sheetData>
      <sheetData sheetId="9">
        <row r="33">
          <cell r="Q33"/>
        </row>
      </sheetData>
      <sheetData sheetId="10">
        <row r="9">
          <cell r="AH9">
            <v>2294.2241015999998</v>
          </cell>
        </row>
      </sheetData>
      <sheetData sheetId="11">
        <row r="33">
          <cell r="O33"/>
        </row>
      </sheetData>
      <sheetData sheetId="12">
        <row r="33">
          <cell r="O33"/>
        </row>
      </sheetData>
      <sheetData sheetId="13">
        <row r="33">
          <cell r="Q33"/>
        </row>
      </sheetData>
      <sheetData sheetId="14">
        <row r="33">
          <cell r="P33"/>
        </row>
      </sheetData>
      <sheetData sheetId="15">
        <row r="33">
          <cell r="O33">
            <v>592568.83416611061</v>
          </cell>
        </row>
      </sheetData>
      <sheetData sheetId="16">
        <row r="33">
          <cell r="P33"/>
        </row>
      </sheetData>
      <sheetData sheetId="17">
        <row r="33">
          <cell r="P33">
            <v>573210.29490272747</v>
          </cell>
        </row>
      </sheetData>
      <sheetData sheetId="18">
        <row r="32">
          <cell r="P32">
            <v>269140.69410225551</v>
          </cell>
        </row>
      </sheetData>
      <sheetData sheetId="19">
        <row r="32">
          <cell r="O32">
            <v>204358.31686403617</v>
          </cell>
        </row>
      </sheetData>
      <sheetData sheetId="20">
        <row r="33">
          <cell r="Q33"/>
        </row>
      </sheetData>
      <sheetData sheetId="21">
        <row r="33">
          <cell r="O33">
            <v>479135.46497076319</v>
          </cell>
        </row>
      </sheetData>
      <sheetData sheetId="22">
        <row r="4">
          <cell r="Z4">
            <v>466.98090000000002</v>
          </cell>
        </row>
      </sheetData>
      <sheetData sheetId="23"/>
      <sheetData sheetId="24"/>
      <sheetData sheetId="25">
        <row r="32">
          <cell r="N32">
            <v>960972.46755327785</v>
          </cell>
        </row>
      </sheetData>
      <sheetData sheetId="26">
        <row r="32">
          <cell r="U32">
            <v>614403.00874086947</v>
          </cell>
        </row>
      </sheetData>
      <sheetData sheetId="27">
        <row r="33">
          <cell r="S33">
            <v>837184.10805541789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4"/>
  <sheetViews>
    <sheetView topLeftCell="A3" workbookViewId="0">
      <selection activeCell="C28" sqref="C28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10.140625" customWidth="1"/>
    <col min="7" max="8" width="8.85546875" customWidth="1"/>
    <col min="9" max="9" width="9.7109375" customWidth="1"/>
    <col min="10" max="10" width="9" customWidth="1"/>
    <col min="11" max="12" width="8.85546875" customWidth="1"/>
    <col min="13" max="15" width="8.7109375" customWidth="1"/>
    <col min="16" max="16" width="9.28515625" bestFit="1" customWidth="1"/>
    <col min="17" max="17" width="12.5703125" bestFit="1" customWidth="1"/>
    <col min="18" max="18" width="7.42578125" customWidth="1"/>
    <col min="19" max="20" width="8.7109375" bestFit="1" customWidth="1"/>
    <col min="21" max="21" width="9" customWidth="1"/>
    <col min="22" max="22" width="9.5703125" customWidth="1"/>
    <col min="23" max="23" width="7.85546875" customWidth="1"/>
    <col min="24" max="25" width="8.5703125" customWidth="1"/>
    <col min="26" max="27" width="10.140625" customWidth="1"/>
    <col min="28" max="28" width="9.5703125" customWidth="1"/>
    <col min="29" max="29" width="12.5703125" bestFit="1" customWidth="1"/>
    <col min="30" max="30" width="14.140625" bestFit="1" customWidth="1"/>
  </cols>
  <sheetData>
    <row r="1" spans="2:30" ht="18.75" x14ac:dyDescent="0.25">
      <c r="E1" s="1"/>
      <c r="F1" s="2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30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30" ht="48.75" customHeight="1" x14ac:dyDescent="0.25">
      <c r="B3" s="47"/>
      <c r="C3" s="47" t="s">
        <v>1</v>
      </c>
      <c r="D3" s="47" t="s">
        <v>2</v>
      </c>
      <c r="E3" s="47" t="s">
        <v>3</v>
      </c>
      <c r="F3" s="47" t="s">
        <v>4</v>
      </c>
      <c r="G3" s="47" t="s">
        <v>5</v>
      </c>
      <c r="H3" s="47" t="s">
        <v>6</v>
      </c>
      <c r="I3" s="47" t="s">
        <v>7</v>
      </c>
      <c r="J3" s="47" t="s">
        <v>8</v>
      </c>
      <c r="K3" s="47" t="s">
        <v>9</v>
      </c>
      <c r="L3" s="47" t="s">
        <v>10</v>
      </c>
      <c r="M3" s="47" t="s">
        <v>11</v>
      </c>
      <c r="N3" s="47" t="s">
        <v>12</v>
      </c>
      <c r="O3" s="47" t="s">
        <v>13</v>
      </c>
      <c r="P3" s="47" t="s">
        <v>14</v>
      </c>
      <c r="Q3" s="48" t="s">
        <v>96</v>
      </c>
      <c r="R3" s="5" t="s">
        <v>15</v>
      </c>
      <c r="S3" s="5" t="s">
        <v>16</v>
      </c>
      <c r="T3" s="5" t="s">
        <v>17</v>
      </c>
      <c r="U3" s="5" t="s">
        <v>18</v>
      </c>
      <c r="V3" s="5" t="s">
        <v>19</v>
      </c>
      <c r="W3" s="6" t="s">
        <v>20</v>
      </c>
      <c r="X3" s="6" t="s">
        <v>21</v>
      </c>
      <c r="Y3" s="7" t="s">
        <v>22</v>
      </c>
      <c r="Z3" s="49" t="s">
        <v>83</v>
      </c>
      <c r="AA3" s="49" t="s">
        <v>84</v>
      </c>
      <c r="AB3" s="49" t="s">
        <v>85</v>
      </c>
      <c r="AC3" s="50" t="s">
        <v>86</v>
      </c>
    </row>
    <row r="4" spans="2:30" x14ac:dyDescent="0.25">
      <c r="B4" s="8" t="s">
        <v>87</v>
      </c>
      <c r="C4" s="9" t="s">
        <v>23</v>
      </c>
      <c r="D4" s="10">
        <v>17</v>
      </c>
      <c r="E4" s="11">
        <v>19286.689999999999</v>
      </c>
      <c r="F4" s="13">
        <v>200</v>
      </c>
      <c r="G4" s="12"/>
      <c r="H4" s="12"/>
      <c r="I4" s="13"/>
      <c r="J4" s="12"/>
      <c r="K4" s="12"/>
      <c r="L4" s="12"/>
      <c r="M4" s="12"/>
      <c r="N4" s="12"/>
      <c r="O4" s="14"/>
      <c r="P4" s="13">
        <f>(E4/15)*2</f>
        <v>2571.5586666666663</v>
      </c>
      <c r="Q4" s="15">
        <f>SUM(E4:P4)</f>
        <v>22058.248666666666</v>
      </c>
      <c r="R4" s="12"/>
      <c r="S4" s="12"/>
      <c r="T4" s="12"/>
      <c r="U4" s="12">
        <f t="shared" ref="U4:U10" si="0">(E4*0.07)</f>
        <v>1350.0683000000001</v>
      </c>
      <c r="V4" s="12">
        <v>3690.8123871999992</v>
      </c>
      <c r="W4" s="16"/>
      <c r="X4" s="17"/>
      <c r="Y4" s="17"/>
      <c r="Z4" s="17"/>
      <c r="AA4" s="17"/>
      <c r="AB4" s="17">
        <f>SUM(R4:AA4)</f>
        <v>5040.8806871999996</v>
      </c>
      <c r="AC4" s="18">
        <f>+Q4-AB4</f>
        <v>17017.367979466668</v>
      </c>
      <c r="AD4" s="3"/>
    </row>
    <row r="5" spans="2:30" x14ac:dyDescent="0.25">
      <c r="B5" s="8" t="s">
        <v>87</v>
      </c>
      <c r="C5" s="9" t="s">
        <v>24</v>
      </c>
      <c r="D5" s="10">
        <v>14</v>
      </c>
      <c r="E5" s="11">
        <v>14917.51</v>
      </c>
      <c r="F5" s="13">
        <v>200</v>
      </c>
      <c r="G5" s="20"/>
      <c r="H5" s="20"/>
      <c r="I5" s="13"/>
      <c r="J5" s="20"/>
      <c r="K5" s="20"/>
      <c r="L5" s="20"/>
      <c r="M5" s="20"/>
      <c r="N5" s="20"/>
      <c r="O5" s="21"/>
      <c r="P5" s="13">
        <f t="shared" ref="P5:P22" si="1">(E5/15)*2</f>
        <v>1989.0013333333334</v>
      </c>
      <c r="Q5" s="15">
        <f t="shared" ref="Q5:Q25" si="2">SUM(E5:P5)</f>
        <v>17106.511333333332</v>
      </c>
      <c r="R5" s="20"/>
      <c r="S5" s="20"/>
      <c r="T5" s="20"/>
      <c r="U5" s="12">
        <f t="shared" si="0"/>
        <v>1044.2257000000002</v>
      </c>
      <c r="V5" s="20">
        <v>2594.6725087999998</v>
      </c>
      <c r="W5" s="22"/>
      <c r="X5" s="23"/>
      <c r="Y5" s="23"/>
      <c r="Z5" s="23"/>
      <c r="AA5" s="23"/>
      <c r="AB5" s="17">
        <f t="shared" ref="AB5:AB24" si="3">SUM(R5:AA5)</f>
        <v>3638.8982088000002</v>
      </c>
      <c r="AC5" s="18">
        <f t="shared" ref="AC5:AC25" si="4">+Q5-AB5</f>
        <v>13467.613124533331</v>
      </c>
      <c r="AD5" s="3"/>
    </row>
    <row r="6" spans="2:30" x14ac:dyDescent="0.25">
      <c r="B6" s="8" t="s">
        <v>87</v>
      </c>
      <c r="C6" s="9" t="s">
        <v>25</v>
      </c>
      <c r="D6" s="10">
        <v>14</v>
      </c>
      <c r="E6" s="11">
        <v>14917.51</v>
      </c>
      <c r="F6" s="13">
        <v>200</v>
      </c>
      <c r="G6" s="20"/>
      <c r="H6" s="20"/>
      <c r="I6" s="13"/>
      <c r="J6" s="20"/>
      <c r="K6" s="20"/>
      <c r="L6" s="20"/>
      <c r="M6" s="20"/>
      <c r="N6" s="20"/>
      <c r="O6" s="21"/>
      <c r="P6" s="13">
        <f t="shared" si="1"/>
        <v>1989.0013333333334</v>
      </c>
      <c r="Q6" s="15">
        <f t="shared" si="2"/>
        <v>17106.511333333332</v>
      </c>
      <c r="R6" s="20"/>
      <c r="S6" s="20"/>
      <c r="T6" s="20"/>
      <c r="U6" s="12">
        <f t="shared" si="0"/>
        <v>1044.2257000000002</v>
      </c>
      <c r="V6" s="20">
        <v>2594.6725087999998</v>
      </c>
      <c r="W6" s="22"/>
      <c r="X6" s="23"/>
      <c r="Y6" s="23"/>
      <c r="Z6" s="23"/>
      <c r="AA6" s="23"/>
      <c r="AB6" s="17">
        <f t="shared" si="3"/>
        <v>3638.8982088000002</v>
      </c>
      <c r="AC6" s="18">
        <f t="shared" si="4"/>
        <v>13467.613124533331</v>
      </c>
      <c r="AD6" s="3"/>
    </row>
    <row r="7" spans="2:30" x14ac:dyDescent="0.25">
      <c r="B7" s="8" t="s">
        <v>88</v>
      </c>
      <c r="C7" s="9" t="s">
        <v>26</v>
      </c>
      <c r="D7" s="10">
        <v>13</v>
      </c>
      <c r="E7" s="11">
        <v>15022.1</v>
      </c>
      <c r="F7" s="13">
        <v>900</v>
      </c>
      <c r="G7" s="13">
        <v>900</v>
      </c>
      <c r="H7" s="13"/>
      <c r="I7" s="13">
        <v>900</v>
      </c>
      <c r="J7" s="13">
        <v>3000</v>
      </c>
      <c r="K7" s="20">
        <v>3341.8</v>
      </c>
      <c r="L7" s="20">
        <v>733</v>
      </c>
      <c r="M7" s="13"/>
      <c r="N7" s="20"/>
      <c r="O7" s="21">
        <f t="shared" ref="O7:O22" si="5">(E7/15)*2</f>
        <v>2002.9466666666667</v>
      </c>
      <c r="P7" s="13">
        <f t="shared" si="1"/>
        <v>2002.9466666666667</v>
      </c>
      <c r="Q7" s="15">
        <f t="shared" si="2"/>
        <v>28802.793333333331</v>
      </c>
      <c r="R7" s="20"/>
      <c r="S7" s="20"/>
      <c r="T7" s="20"/>
      <c r="U7" s="12">
        <f t="shared" si="0"/>
        <v>1051.547</v>
      </c>
      <c r="V7" s="20">
        <v>3664.9350560000007</v>
      </c>
      <c r="W7" s="22"/>
      <c r="X7" s="23"/>
      <c r="Y7" s="23"/>
      <c r="Z7" s="23"/>
      <c r="AA7" s="23"/>
      <c r="AB7" s="17">
        <f t="shared" si="3"/>
        <v>4716.4820560000007</v>
      </c>
      <c r="AC7" s="18">
        <f t="shared" si="4"/>
        <v>24086.311277333331</v>
      </c>
      <c r="AD7" s="3"/>
    </row>
    <row r="8" spans="2:30" ht="15" customHeight="1" x14ac:dyDescent="0.25">
      <c r="B8" s="8" t="s">
        <v>88</v>
      </c>
      <c r="C8" s="9" t="s">
        <v>27</v>
      </c>
      <c r="D8" s="10">
        <v>13</v>
      </c>
      <c r="E8" s="11">
        <v>15022.1</v>
      </c>
      <c r="F8" s="13">
        <v>900</v>
      </c>
      <c r="G8" s="13">
        <v>900</v>
      </c>
      <c r="H8" s="13"/>
      <c r="I8" s="13">
        <v>900</v>
      </c>
      <c r="J8" s="13">
        <v>3000</v>
      </c>
      <c r="K8" s="20">
        <v>3341.8</v>
      </c>
      <c r="L8" s="20">
        <v>733</v>
      </c>
      <c r="M8" s="13"/>
      <c r="N8" s="20"/>
      <c r="O8" s="21">
        <f t="shared" si="5"/>
        <v>2002.9466666666667</v>
      </c>
      <c r="P8" s="13">
        <f t="shared" si="1"/>
        <v>2002.9466666666667</v>
      </c>
      <c r="Q8" s="15">
        <f t="shared" si="2"/>
        <v>28802.793333333331</v>
      </c>
      <c r="R8" s="20"/>
      <c r="S8" s="20"/>
      <c r="T8" s="20"/>
      <c r="U8" s="12">
        <f t="shared" si="0"/>
        <v>1051.547</v>
      </c>
      <c r="V8" s="20">
        <v>3664.9350560000007</v>
      </c>
      <c r="W8" s="22"/>
      <c r="X8" s="23"/>
      <c r="Y8" s="23"/>
      <c r="Z8" s="23"/>
      <c r="AA8" s="23"/>
      <c r="AB8" s="17">
        <f t="shared" si="3"/>
        <v>4716.4820560000007</v>
      </c>
      <c r="AC8" s="18">
        <f t="shared" si="4"/>
        <v>24086.311277333331</v>
      </c>
      <c r="AD8" s="3"/>
    </row>
    <row r="9" spans="2:30" ht="15" customHeight="1" x14ac:dyDescent="0.25">
      <c r="B9" s="8" t="s">
        <v>88</v>
      </c>
      <c r="C9" s="9" t="s">
        <v>28</v>
      </c>
      <c r="D9" s="10">
        <v>13</v>
      </c>
      <c r="E9" s="11">
        <v>15022.1</v>
      </c>
      <c r="F9" s="13">
        <v>900</v>
      </c>
      <c r="G9" s="13">
        <v>900</v>
      </c>
      <c r="H9" s="13"/>
      <c r="I9" s="13">
        <v>900</v>
      </c>
      <c r="J9" s="13">
        <v>3000</v>
      </c>
      <c r="K9" s="20">
        <v>3341.8</v>
      </c>
      <c r="L9" s="20">
        <v>733</v>
      </c>
      <c r="M9" s="13"/>
      <c r="N9" s="20"/>
      <c r="O9" s="21">
        <f t="shared" si="5"/>
        <v>2002.9466666666667</v>
      </c>
      <c r="P9" s="13">
        <f t="shared" si="1"/>
        <v>2002.9466666666667</v>
      </c>
      <c r="Q9" s="15">
        <f t="shared" si="2"/>
        <v>28802.793333333331</v>
      </c>
      <c r="R9" s="20"/>
      <c r="S9" s="20"/>
      <c r="T9" s="20"/>
      <c r="U9" s="12">
        <f t="shared" si="0"/>
        <v>1051.547</v>
      </c>
      <c r="V9" s="20">
        <v>3664.9350560000007</v>
      </c>
      <c r="W9" s="22"/>
      <c r="X9" s="23"/>
      <c r="Y9" s="23"/>
      <c r="Z9" s="23"/>
      <c r="AA9" s="23"/>
      <c r="AB9" s="17">
        <f t="shared" si="3"/>
        <v>4716.4820560000007</v>
      </c>
      <c r="AC9" s="18">
        <f t="shared" si="4"/>
        <v>24086.311277333331</v>
      </c>
      <c r="AD9" s="3"/>
    </row>
    <row r="10" spans="2:30" ht="15" customHeight="1" x14ac:dyDescent="0.25">
      <c r="B10" s="8" t="s">
        <v>88</v>
      </c>
      <c r="C10" s="9" t="s">
        <v>29</v>
      </c>
      <c r="D10" s="10">
        <v>9</v>
      </c>
      <c r="E10" s="11">
        <v>11333.03</v>
      </c>
      <c r="F10" s="13">
        <v>900</v>
      </c>
      <c r="G10" s="13">
        <v>900</v>
      </c>
      <c r="H10" s="13"/>
      <c r="I10" s="13">
        <v>900</v>
      </c>
      <c r="J10" s="13">
        <v>1050</v>
      </c>
      <c r="K10" s="20">
        <v>1803.2</v>
      </c>
      <c r="L10" s="20">
        <v>675</v>
      </c>
      <c r="M10" s="13"/>
      <c r="N10" s="20"/>
      <c r="O10" s="21">
        <f t="shared" si="5"/>
        <v>1511.0706666666667</v>
      </c>
      <c r="P10" s="13">
        <f t="shared" si="1"/>
        <v>1511.0706666666667</v>
      </c>
      <c r="Q10" s="15">
        <f t="shared" si="2"/>
        <v>20583.371333333333</v>
      </c>
      <c r="R10" s="20"/>
      <c r="S10" s="20"/>
      <c r="T10" s="20"/>
      <c r="U10" s="12">
        <f t="shared" si="0"/>
        <v>793.3121000000001</v>
      </c>
      <c r="V10" s="20">
        <v>2286.3131664000002</v>
      </c>
      <c r="W10" s="22"/>
      <c r="X10" s="23"/>
      <c r="Y10" s="23"/>
      <c r="Z10" s="23"/>
      <c r="AA10" s="23"/>
      <c r="AB10" s="17">
        <f t="shared" si="3"/>
        <v>3079.6252664000003</v>
      </c>
      <c r="AC10" s="18">
        <f t="shared" si="4"/>
        <v>17503.74606693333</v>
      </c>
      <c r="AD10" s="3"/>
    </row>
    <row r="11" spans="2:30" ht="15" customHeight="1" x14ac:dyDescent="0.25">
      <c r="B11" s="8" t="s">
        <v>89</v>
      </c>
      <c r="C11" s="9" t="s">
        <v>30</v>
      </c>
      <c r="D11" s="10">
        <v>10</v>
      </c>
      <c r="E11" s="11">
        <v>15424.35954953621</v>
      </c>
      <c r="F11" s="13">
        <v>1100</v>
      </c>
      <c r="G11" s="13">
        <v>1133</v>
      </c>
      <c r="H11" s="13">
        <f>33*11</f>
        <v>363</v>
      </c>
      <c r="I11" s="13">
        <v>1140</v>
      </c>
      <c r="J11" s="13">
        <v>1150</v>
      </c>
      <c r="K11" s="20">
        <v>1934.8</v>
      </c>
      <c r="L11" s="20">
        <v>787</v>
      </c>
      <c r="M11" s="13"/>
      <c r="N11" s="20">
        <v>945</v>
      </c>
      <c r="O11" s="21">
        <f t="shared" si="5"/>
        <v>2056.5812732714944</v>
      </c>
      <c r="P11" s="13">
        <f t="shared" si="1"/>
        <v>2056.5812732714944</v>
      </c>
      <c r="Q11" s="15">
        <f t="shared" si="2"/>
        <v>28090.322096079199</v>
      </c>
      <c r="R11" s="20"/>
      <c r="S11" s="20"/>
      <c r="T11" s="20">
        <f t="shared" ref="T11:T22" si="6">(E11*0.07)</f>
        <v>1079.7051684675348</v>
      </c>
      <c r="U11" s="12">
        <f>(E11*0.07)+80.49</f>
        <v>1160.1951684675348</v>
      </c>
      <c r="V11" s="20">
        <v>3506.6205615243716</v>
      </c>
      <c r="W11" s="22"/>
      <c r="X11" s="23"/>
      <c r="Y11" s="23"/>
      <c r="Z11" s="23"/>
      <c r="AA11" s="23"/>
      <c r="AB11" s="17">
        <f t="shared" si="3"/>
        <v>5746.520898459441</v>
      </c>
      <c r="AC11" s="18">
        <f t="shared" si="4"/>
        <v>22343.801197619759</v>
      </c>
      <c r="AD11" s="3"/>
    </row>
    <row r="12" spans="2:30" ht="15" customHeight="1" x14ac:dyDescent="0.25">
      <c r="B12" s="8" t="s">
        <v>89</v>
      </c>
      <c r="C12" s="9" t="s">
        <v>31</v>
      </c>
      <c r="D12" s="10">
        <v>8</v>
      </c>
      <c r="E12" s="11">
        <v>13360.854858749999</v>
      </c>
      <c r="F12" s="13">
        <v>1100</v>
      </c>
      <c r="G12" s="13">
        <v>1133</v>
      </c>
      <c r="H12" s="13">
        <f t="shared" ref="H12:H22" si="7">33*11</f>
        <v>363</v>
      </c>
      <c r="I12" s="13">
        <v>1140</v>
      </c>
      <c r="J12" s="13">
        <v>1000</v>
      </c>
      <c r="K12" s="12">
        <v>1677.2</v>
      </c>
      <c r="L12" s="12">
        <f>662+100</f>
        <v>762</v>
      </c>
      <c r="M12" s="13">
        <f>225</f>
        <v>225</v>
      </c>
      <c r="N12" s="13">
        <v>838</v>
      </c>
      <c r="O12" s="21">
        <f t="shared" si="5"/>
        <v>1781.4473144999999</v>
      </c>
      <c r="P12" s="13">
        <f t="shared" si="1"/>
        <v>1781.4473144999999</v>
      </c>
      <c r="Q12" s="15">
        <f t="shared" si="2"/>
        <v>25161.94948775</v>
      </c>
      <c r="R12" s="20">
        <f t="shared" ref="R12:R21" si="8">(E12*0.01)</f>
        <v>133.6085485875</v>
      </c>
      <c r="S12" s="20">
        <f>1000</f>
        <v>1000</v>
      </c>
      <c r="T12" s="20">
        <f t="shared" si="6"/>
        <v>935.2598401125</v>
      </c>
      <c r="U12" s="12">
        <f t="shared" ref="U12:U22" si="9">(E12*0.07)</f>
        <v>935.2598401125</v>
      </c>
      <c r="V12" s="20">
        <v>2946.0357911484002</v>
      </c>
      <c r="W12" s="22"/>
      <c r="X12" s="23"/>
      <c r="Y12" s="23"/>
      <c r="Z12" s="23">
        <f>966.64</f>
        <v>966.64</v>
      </c>
      <c r="AA12" s="23"/>
      <c r="AB12" s="17">
        <f t="shared" si="3"/>
        <v>6916.8040199609013</v>
      </c>
      <c r="AC12" s="18">
        <f t="shared" si="4"/>
        <v>18245.145467789098</v>
      </c>
      <c r="AD12" s="3"/>
    </row>
    <row r="13" spans="2:30" ht="22.5" x14ac:dyDescent="0.25">
      <c r="B13" s="8" t="s">
        <v>89</v>
      </c>
      <c r="C13" s="25" t="s">
        <v>32</v>
      </c>
      <c r="D13" s="26">
        <v>7</v>
      </c>
      <c r="E13" s="11">
        <v>12482.481170250001</v>
      </c>
      <c r="F13" s="13">
        <v>1100</v>
      </c>
      <c r="G13" s="13">
        <v>1133</v>
      </c>
      <c r="H13" s="13">
        <f t="shared" si="7"/>
        <v>363</v>
      </c>
      <c r="I13" s="13">
        <v>1140</v>
      </c>
      <c r="J13" s="13"/>
      <c r="K13" s="12">
        <v>1565.2</v>
      </c>
      <c r="L13" s="12">
        <f>651+100</f>
        <v>751</v>
      </c>
      <c r="M13" s="20">
        <v>325</v>
      </c>
      <c r="N13" s="20">
        <v>793</v>
      </c>
      <c r="O13" s="21">
        <f t="shared" si="5"/>
        <v>1664.3308227000002</v>
      </c>
      <c r="P13" s="13">
        <f t="shared" si="1"/>
        <v>1664.3308227000002</v>
      </c>
      <c r="Q13" s="15">
        <f t="shared" si="2"/>
        <v>22981.342815650005</v>
      </c>
      <c r="R13" s="20">
        <f t="shared" si="8"/>
        <v>124.82481170250001</v>
      </c>
      <c r="S13" s="20"/>
      <c r="T13" s="20">
        <f t="shared" si="6"/>
        <v>873.7736819175002</v>
      </c>
      <c r="U13" s="12">
        <f t="shared" si="9"/>
        <v>873.7736819175002</v>
      </c>
      <c r="V13" s="20">
        <v>2598.0597007418405</v>
      </c>
      <c r="W13" s="23"/>
      <c r="X13" s="22"/>
      <c r="Y13" s="22"/>
      <c r="Z13" s="22"/>
      <c r="AA13" s="22"/>
      <c r="AB13" s="17">
        <f t="shared" si="3"/>
        <v>4470.4318762793409</v>
      </c>
      <c r="AC13" s="18">
        <f t="shared" si="4"/>
        <v>18510.910939370664</v>
      </c>
      <c r="AD13" s="3"/>
    </row>
    <row r="14" spans="2:30" x14ac:dyDescent="0.25">
      <c r="B14" s="8" t="s">
        <v>89</v>
      </c>
      <c r="C14" s="25" t="s">
        <v>33</v>
      </c>
      <c r="D14" s="26">
        <v>7</v>
      </c>
      <c r="E14" s="11">
        <v>12482.481170250001</v>
      </c>
      <c r="F14" s="13">
        <v>1100</v>
      </c>
      <c r="G14" s="13">
        <v>1133</v>
      </c>
      <c r="H14" s="13">
        <f t="shared" si="7"/>
        <v>363</v>
      </c>
      <c r="I14" s="13">
        <v>1140</v>
      </c>
      <c r="J14" s="13"/>
      <c r="K14" s="12">
        <v>1565.2</v>
      </c>
      <c r="L14" s="12">
        <f>651+100</f>
        <v>751</v>
      </c>
      <c r="M14" s="20"/>
      <c r="N14" s="20">
        <v>793</v>
      </c>
      <c r="O14" s="21">
        <f t="shared" si="5"/>
        <v>1664.3308227000002</v>
      </c>
      <c r="P14" s="13">
        <f t="shared" si="1"/>
        <v>1664.3308227000002</v>
      </c>
      <c r="Q14" s="15">
        <f t="shared" si="2"/>
        <v>22656.342815650005</v>
      </c>
      <c r="R14" s="20">
        <f t="shared" si="8"/>
        <v>124.82481170250001</v>
      </c>
      <c r="S14" s="20"/>
      <c r="T14" s="20">
        <f t="shared" si="6"/>
        <v>873.7736819175002</v>
      </c>
      <c r="U14" s="12">
        <f t="shared" si="9"/>
        <v>873.7736819175002</v>
      </c>
      <c r="V14" s="20">
        <v>2521.6197007418405</v>
      </c>
      <c r="W14" s="22"/>
      <c r="X14" s="23"/>
      <c r="Y14" s="22"/>
      <c r="Z14" s="22"/>
      <c r="AA14" s="22"/>
      <c r="AB14" s="17">
        <f t="shared" si="3"/>
        <v>4393.9918762793404</v>
      </c>
      <c r="AC14" s="18">
        <f t="shared" si="4"/>
        <v>18262.350939370663</v>
      </c>
      <c r="AD14" s="3"/>
    </row>
    <row r="15" spans="2:30" x14ac:dyDescent="0.25">
      <c r="B15" s="8" t="s">
        <v>89</v>
      </c>
      <c r="C15" s="9" t="s">
        <v>34</v>
      </c>
      <c r="D15" s="10">
        <v>5</v>
      </c>
      <c r="E15" s="11">
        <v>10948.878517500001</v>
      </c>
      <c r="F15" s="13">
        <v>1100</v>
      </c>
      <c r="G15" s="13">
        <v>1133</v>
      </c>
      <c r="H15" s="13">
        <f t="shared" si="7"/>
        <v>363</v>
      </c>
      <c r="I15" s="13">
        <v>1140</v>
      </c>
      <c r="J15" s="13"/>
      <c r="K15" s="13">
        <v>1241.8</v>
      </c>
      <c r="L15" s="13">
        <f>632+100</f>
        <v>732</v>
      </c>
      <c r="M15" s="20">
        <f>525</f>
        <v>525</v>
      </c>
      <c r="N15" s="20">
        <v>713</v>
      </c>
      <c r="O15" s="21">
        <f t="shared" si="5"/>
        <v>1459.8504690000002</v>
      </c>
      <c r="P15" s="13">
        <f t="shared" si="1"/>
        <v>1459.8504690000002</v>
      </c>
      <c r="Q15" s="15">
        <f t="shared" si="2"/>
        <v>20816.379455500002</v>
      </c>
      <c r="R15" s="20">
        <f t="shared" si="8"/>
        <v>109.48878517500002</v>
      </c>
      <c r="S15" s="20"/>
      <c r="T15" s="20">
        <f t="shared" si="6"/>
        <v>766.42149622500017</v>
      </c>
      <c r="U15" s="12">
        <f t="shared" si="9"/>
        <v>766.42149622500017</v>
      </c>
      <c r="V15" s="20">
        <v>2215.5962555164006</v>
      </c>
      <c r="W15" s="22">
        <f>2583</f>
        <v>2583</v>
      </c>
      <c r="X15" s="23"/>
      <c r="Y15" s="23"/>
      <c r="Z15" s="23"/>
      <c r="AA15" s="23"/>
      <c r="AB15" s="17">
        <f t="shared" si="3"/>
        <v>6440.9280331414011</v>
      </c>
      <c r="AC15" s="18">
        <f t="shared" si="4"/>
        <v>14375.451422358601</v>
      </c>
      <c r="AD15" s="3"/>
    </row>
    <row r="16" spans="2:30" x14ac:dyDescent="0.25">
      <c r="B16" s="8" t="s">
        <v>89</v>
      </c>
      <c r="C16" s="9" t="s">
        <v>35</v>
      </c>
      <c r="D16" s="10">
        <v>5</v>
      </c>
      <c r="E16" s="11">
        <v>10948.878517500001</v>
      </c>
      <c r="F16" s="13">
        <v>1100</v>
      </c>
      <c r="G16" s="13">
        <v>1133</v>
      </c>
      <c r="H16" s="13">
        <f t="shared" si="7"/>
        <v>363</v>
      </c>
      <c r="I16" s="13">
        <v>1140</v>
      </c>
      <c r="J16" s="13"/>
      <c r="K16" s="13">
        <v>1241.8</v>
      </c>
      <c r="L16" s="13">
        <f>632+100</f>
        <v>732</v>
      </c>
      <c r="M16" s="13">
        <v>150</v>
      </c>
      <c r="N16" s="20">
        <v>713</v>
      </c>
      <c r="O16" s="21">
        <f t="shared" si="5"/>
        <v>1459.8504690000002</v>
      </c>
      <c r="P16" s="13">
        <f t="shared" si="1"/>
        <v>1459.8504690000002</v>
      </c>
      <c r="Q16" s="15">
        <f t="shared" si="2"/>
        <v>20441.379455500002</v>
      </c>
      <c r="R16" s="20">
        <f t="shared" si="8"/>
        <v>109.48878517500002</v>
      </c>
      <c r="S16" s="20">
        <f>500</f>
        <v>500</v>
      </c>
      <c r="T16" s="20">
        <f t="shared" si="6"/>
        <v>766.42149622500017</v>
      </c>
      <c r="U16" s="12">
        <f t="shared" si="9"/>
        <v>766.42149622500017</v>
      </c>
      <c r="V16" s="20">
        <v>2135.4962555164007</v>
      </c>
      <c r="W16" s="22"/>
      <c r="X16" s="23"/>
      <c r="Y16" s="23"/>
      <c r="Z16" s="23"/>
      <c r="AA16" s="23"/>
      <c r="AB16" s="17">
        <f t="shared" si="3"/>
        <v>4277.8280331414007</v>
      </c>
      <c r="AC16" s="18">
        <f t="shared" si="4"/>
        <v>16163.551422358601</v>
      </c>
      <c r="AD16" s="3"/>
    </row>
    <row r="17" spans="2:30" x14ac:dyDescent="0.25">
      <c r="B17" s="8" t="s">
        <v>89</v>
      </c>
      <c r="C17" s="9" t="s">
        <v>36</v>
      </c>
      <c r="D17" s="10">
        <v>4</v>
      </c>
      <c r="E17" s="11">
        <v>9610.9981694999988</v>
      </c>
      <c r="F17" s="13">
        <v>1100</v>
      </c>
      <c r="G17" s="13">
        <v>1133</v>
      </c>
      <c r="H17" s="13">
        <f t="shared" si="7"/>
        <v>363</v>
      </c>
      <c r="I17" s="13">
        <v>1140</v>
      </c>
      <c r="J17" s="13"/>
      <c r="K17" s="13">
        <v>845.6</v>
      </c>
      <c r="L17" s="13">
        <f>615+100</f>
        <v>715</v>
      </c>
      <c r="M17" s="13">
        <v>150</v>
      </c>
      <c r="N17" s="20">
        <v>644</v>
      </c>
      <c r="O17" s="21">
        <f t="shared" si="5"/>
        <v>1281.4664225999998</v>
      </c>
      <c r="P17" s="13">
        <f t="shared" si="1"/>
        <v>1281.4664225999998</v>
      </c>
      <c r="Q17" s="15">
        <f t="shared" si="2"/>
        <v>18264.531014699998</v>
      </c>
      <c r="R17" s="20">
        <f t="shared" si="8"/>
        <v>96.109981694999988</v>
      </c>
      <c r="S17" s="20"/>
      <c r="T17" s="20">
        <f t="shared" si="6"/>
        <v>672.76987186500003</v>
      </c>
      <c r="U17" s="12">
        <f t="shared" si="9"/>
        <v>672.76987186500003</v>
      </c>
      <c r="V17" s="20">
        <v>1760.1232208725594</v>
      </c>
      <c r="W17" s="22"/>
      <c r="X17" s="23"/>
      <c r="Y17" s="23"/>
      <c r="Z17" s="23"/>
      <c r="AA17" s="23"/>
      <c r="AB17" s="17">
        <f t="shared" si="3"/>
        <v>3201.7729462975594</v>
      </c>
      <c r="AC17" s="18">
        <f t="shared" si="4"/>
        <v>15062.75806840244</v>
      </c>
      <c r="AD17" s="3"/>
    </row>
    <row r="18" spans="2:30" x14ac:dyDescent="0.25">
      <c r="B18" s="8" t="s">
        <v>89</v>
      </c>
      <c r="C18" s="9" t="s">
        <v>37</v>
      </c>
      <c r="D18" s="10">
        <v>4</v>
      </c>
      <c r="E18" s="11">
        <v>9610.9981694999988</v>
      </c>
      <c r="F18" s="13">
        <v>1100</v>
      </c>
      <c r="G18" s="13">
        <v>1133</v>
      </c>
      <c r="H18" s="13">
        <f t="shared" si="7"/>
        <v>363</v>
      </c>
      <c r="I18" s="13">
        <v>1140</v>
      </c>
      <c r="J18" s="13"/>
      <c r="K18" s="13">
        <v>845.6</v>
      </c>
      <c r="L18" s="13">
        <f>615+100</f>
        <v>715</v>
      </c>
      <c r="M18" s="13">
        <v>150</v>
      </c>
      <c r="N18" s="20">
        <v>644</v>
      </c>
      <c r="O18" s="21">
        <f t="shared" si="5"/>
        <v>1281.4664225999998</v>
      </c>
      <c r="P18" s="13">
        <f t="shared" si="1"/>
        <v>1281.4664225999998</v>
      </c>
      <c r="Q18" s="15">
        <f t="shared" si="2"/>
        <v>18264.531014699998</v>
      </c>
      <c r="R18" s="20">
        <f t="shared" si="8"/>
        <v>96.109981694999988</v>
      </c>
      <c r="S18" s="20">
        <f>500</f>
        <v>500</v>
      </c>
      <c r="T18" s="20">
        <f t="shared" si="6"/>
        <v>672.76987186500003</v>
      </c>
      <c r="U18" s="12">
        <f t="shared" si="9"/>
        <v>672.76987186500003</v>
      </c>
      <c r="V18" s="20">
        <v>1760.1232208725594</v>
      </c>
      <c r="W18" s="22"/>
      <c r="X18" s="23"/>
      <c r="Y18" s="23"/>
      <c r="Z18" s="23"/>
      <c r="AA18" s="23"/>
      <c r="AB18" s="17">
        <f t="shared" si="3"/>
        <v>3701.7729462975594</v>
      </c>
      <c r="AC18" s="18">
        <f t="shared" si="4"/>
        <v>14562.75806840244</v>
      </c>
      <c r="AD18" s="3"/>
    </row>
    <row r="19" spans="2:30" x14ac:dyDescent="0.25">
      <c r="B19" s="8" t="s">
        <v>89</v>
      </c>
      <c r="C19" s="9" t="s">
        <v>38</v>
      </c>
      <c r="D19" s="10">
        <v>2</v>
      </c>
      <c r="E19" s="11">
        <v>8024.8779607499991</v>
      </c>
      <c r="F19" s="13">
        <v>1100</v>
      </c>
      <c r="G19" s="13">
        <v>1133</v>
      </c>
      <c r="H19" s="13">
        <f t="shared" si="7"/>
        <v>363</v>
      </c>
      <c r="I19" s="13">
        <v>1140</v>
      </c>
      <c r="J19" s="13"/>
      <c r="K19" s="13">
        <v>704.2</v>
      </c>
      <c r="L19" s="13">
        <f>595+100</f>
        <v>695</v>
      </c>
      <c r="M19" s="13">
        <v>150</v>
      </c>
      <c r="N19" s="20">
        <v>561</v>
      </c>
      <c r="O19" s="21">
        <f t="shared" si="5"/>
        <v>1069.9837280999998</v>
      </c>
      <c r="P19" s="13">
        <f t="shared" si="1"/>
        <v>1069.9837280999998</v>
      </c>
      <c r="Q19" s="15">
        <f t="shared" si="2"/>
        <v>16011.045416950001</v>
      </c>
      <c r="R19" s="20">
        <f t="shared" si="8"/>
        <v>80.248779607499998</v>
      </c>
      <c r="S19" s="20">
        <f>1000</f>
        <v>1000</v>
      </c>
      <c r="T19" s="20">
        <f t="shared" si="6"/>
        <v>561.74145725250003</v>
      </c>
      <c r="U19" s="12">
        <f t="shared" si="9"/>
        <v>561.74145725250003</v>
      </c>
      <c r="V19" s="20">
        <v>1350.0533207383598</v>
      </c>
      <c r="W19" s="22"/>
      <c r="X19" s="23"/>
      <c r="Y19" s="23"/>
      <c r="Z19" s="23"/>
      <c r="AA19" s="23"/>
      <c r="AB19" s="17">
        <f t="shared" si="3"/>
        <v>3553.7850148508596</v>
      </c>
      <c r="AC19" s="18">
        <f t="shared" si="4"/>
        <v>12457.260402099142</v>
      </c>
      <c r="AD19" s="3"/>
    </row>
    <row r="20" spans="2:30" x14ac:dyDescent="0.25">
      <c r="B20" s="8" t="s">
        <v>89</v>
      </c>
      <c r="C20" s="9" t="s">
        <v>39</v>
      </c>
      <c r="D20" s="10">
        <v>2</v>
      </c>
      <c r="E20" s="11">
        <v>8024.8779607499991</v>
      </c>
      <c r="F20" s="13">
        <v>1100</v>
      </c>
      <c r="G20" s="13">
        <v>1133</v>
      </c>
      <c r="H20" s="13">
        <f t="shared" si="7"/>
        <v>363</v>
      </c>
      <c r="I20" s="13">
        <v>1140</v>
      </c>
      <c r="J20" s="13"/>
      <c r="K20" s="13">
        <v>704.2</v>
      </c>
      <c r="L20" s="13">
        <f>595+100</f>
        <v>695</v>
      </c>
      <c r="M20" s="13">
        <v>150</v>
      </c>
      <c r="N20" s="20">
        <v>561</v>
      </c>
      <c r="O20" s="21">
        <f t="shared" si="5"/>
        <v>1069.9837280999998</v>
      </c>
      <c r="P20" s="13">
        <f t="shared" si="1"/>
        <v>1069.9837280999998</v>
      </c>
      <c r="Q20" s="15">
        <f t="shared" si="2"/>
        <v>16011.045416950001</v>
      </c>
      <c r="R20" s="20">
        <f t="shared" si="8"/>
        <v>80.248779607499998</v>
      </c>
      <c r="S20" s="20">
        <f>500</f>
        <v>500</v>
      </c>
      <c r="T20" s="20">
        <f t="shared" si="6"/>
        <v>561.74145725250003</v>
      </c>
      <c r="U20" s="12">
        <f t="shared" si="9"/>
        <v>561.74145725250003</v>
      </c>
      <c r="V20" s="20">
        <v>1350.0533207383598</v>
      </c>
      <c r="W20" s="22"/>
      <c r="X20" s="23"/>
      <c r="Y20" s="23"/>
      <c r="Z20" s="23">
        <f>966.64</f>
        <v>966.64</v>
      </c>
      <c r="AA20" s="23">
        <f>1933.28</f>
        <v>1933.28</v>
      </c>
      <c r="AB20" s="17">
        <f t="shared" si="3"/>
        <v>5953.7050148508597</v>
      </c>
      <c r="AC20" s="18">
        <f t="shared" si="4"/>
        <v>10057.34040209914</v>
      </c>
      <c r="AD20" s="3"/>
    </row>
    <row r="21" spans="2:30" ht="22.5" x14ac:dyDescent="0.25">
      <c r="B21" s="8" t="s">
        <v>89</v>
      </c>
      <c r="C21" s="9" t="s">
        <v>40</v>
      </c>
      <c r="D21" s="10"/>
      <c r="E21" s="11">
        <v>7531.9769857499987</v>
      </c>
      <c r="F21" s="13">
        <v>1100</v>
      </c>
      <c r="G21" s="13">
        <v>1133</v>
      </c>
      <c r="H21" s="13">
        <f t="shared" si="7"/>
        <v>363</v>
      </c>
      <c r="I21" s="13">
        <v>1140</v>
      </c>
      <c r="J21" s="13"/>
      <c r="K21" s="13">
        <v>658</v>
      </c>
      <c r="L21" s="13">
        <f>589+100</f>
        <v>689</v>
      </c>
      <c r="M21" s="13">
        <v>150</v>
      </c>
      <c r="N21" s="20">
        <v>536</v>
      </c>
      <c r="O21" s="21">
        <f t="shared" si="5"/>
        <v>1004.2635980999999</v>
      </c>
      <c r="P21" s="13">
        <f t="shared" si="1"/>
        <v>1004.2635980999999</v>
      </c>
      <c r="Q21" s="15">
        <f t="shared" si="2"/>
        <v>15309.50418195</v>
      </c>
      <c r="R21" s="20">
        <f t="shared" si="8"/>
        <v>75.319769857499992</v>
      </c>
      <c r="S21" s="20">
        <v>1000</v>
      </c>
      <c r="T21" s="20">
        <f t="shared" si="6"/>
        <v>527.23838900249996</v>
      </c>
      <c r="U21" s="12">
        <f t="shared" si="9"/>
        <v>527.23838900249996</v>
      </c>
      <c r="V21" s="20">
        <v>1222.4868927103598</v>
      </c>
      <c r="W21" s="22"/>
      <c r="X21" s="23"/>
      <c r="Y21" s="23"/>
      <c r="Z21" s="23"/>
      <c r="AA21" s="23"/>
      <c r="AB21" s="17">
        <f t="shared" si="3"/>
        <v>3352.2834405728595</v>
      </c>
      <c r="AC21" s="18">
        <f t="shared" si="4"/>
        <v>11957.220741377141</v>
      </c>
      <c r="AD21" s="3"/>
    </row>
    <row r="22" spans="2:30" ht="22.5" x14ac:dyDescent="0.25">
      <c r="B22" s="8" t="s">
        <v>89</v>
      </c>
      <c r="C22" s="9" t="s">
        <v>41</v>
      </c>
      <c r="D22" s="10">
        <v>1</v>
      </c>
      <c r="E22" s="11">
        <v>7531.9769857499987</v>
      </c>
      <c r="F22" s="13">
        <v>1100</v>
      </c>
      <c r="G22" s="13">
        <v>1133</v>
      </c>
      <c r="H22" s="13">
        <f t="shared" si="7"/>
        <v>363</v>
      </c>
      <c r="I22" s="13">
        <v>1140</v>
      </c>
      <c r="J22" s="13"/>
      <c r="K22" s="13">
        <v>658</v>
      </c>
      <c r="L22" s="13">
        <f>589+100</f>
        <v>689</v>
      </c>
      <c r="M22" s="13"/>
      <c r="N22" s="20">
        <v>536</v>
      </c>
      <c r="O22" s="21">
        <f t="shared" si="5"/>
        <v>1004.2635980999999</v>
      </c>
      <c r="P22" s="13">
        <f t="shared" si="1"/>
        <v>1004.2635980999999</v>
      </c>
      <c r="Q22" s="15">
        <f t="shared" si="2"/>
        <v>15159.50418195</v>
      </c>
      <c r="R22" s="20"/>
      <c r="S22" s="20"/>
      <c r="T22" s="20">
        <f t="shared" si="6"/>
        <v>527.23838900249996</v>
      </c>
      <c r="U22" s="12">
        <f t="shared" si="9"/>
        <v>527.23838900249996</v>
      </c>
      <c r="V22" s="20">
        <v>1190.4468927103596</v>
      </c>
      <c r="W22" s="22"/>
      <c r="X22" s="23"/>
      <c r="Y22" s="23"/>
      <c r="Z22" s="23"/>
      <c r="AA22" s="23"/>
      <c r="AB22" s="17">
        <f t="shared" si="3"/>
        <v>2244.9236707153595</v>
      </c>
      <c r="AC22" s="18">
        <f t="shared" si="4"/>
        <v>12914.580511234641</v>
      </c>
      <c r="AD22" s="3"/>
    </row>
    <row r="23" spans="2:30" ht="22.5" x14ac:dyDescent="0.25">
      <c r="B23" s="8" t="s">
        <v>90</v>
      </c>
      <c r="C23" s="9" t="s">
        <v>42</v>
      </c>
      <c r="D23" s="10"/>
      <c r="E23" s="11">
        <v>6069.96</v>
      </c>
      <c r="F23" s="27"/>
      <c r="G23" s="27"/>
      <c r="H23" s="27"/>
      <c r="I23" s="27"/>
      <c r="J23" s="27"/>
      <c r="K23" s="28"/>
      <c r="L23" s="28"/>
      <c r="M23" s="27"/>
      <c r="N23" s="28"/>
      <c r="O23" s="29"/>
      <c r="P23" s="30"/>
      <c r="Q23" s="15">
        <f t="shared" si="2"/>
        <v>6069.96</v>
      </c>
      <c r="R23" s="20"/>
      <c r="S23" s="28"/>
      <c r="T23" s="28"/>
      <c r="U23" s="12"/>
      <c r="V23" s="20">
        <v>527.76699999999994</v>
      </c>
      <c r="W23" s="22"/>
      <c r="X23" s="23"/>
      <c r="Y23" s="23"/>
      <c r="Z23" s="23"/>
      <c r="AA23" s="23"/>
      <c r="AB23" s="17">
        <f t="shared" si="3"/>
        <v>527.76699999999994</v>
      </c>
      <c r="AC23" s="18">
        <f t="shared" si="4"/>
        <v>5542.1930000000002</v>
      </c>
    </row>
    <row r="24" spans="2:30" x14ac:dyDescent="0.25">
      <c r="B24" s="8" t="s">
        <v>90</v>
      </c>
      <c r="C24" s="25" t="s">
        <v>43</v>
      </c>
      <c r="D24" s="31"/>
      <c r="E24" s="32">
        <v>3018.5</v>
      </c>
      <c r="F24" s="27"/>
      <c r="G24" s="27"/>
      <c r="H24" s="27"/>
      <c r="I24" s="27"/>
      <c r="J24" s="27"/>
      <c r="K24" s="28"/>
      <c r="L24" s="28"/>
      <c r="M24" s="27"/>
      <c r="N24" s="28"/>
      <c r="O24" s="28"/>
      <c r="P24" s="30"/>
      <c r="Q24" s="15">
        <f t="shared" si="2"/>
        <v>3018.5</v>
      </c>
      <c r="R24" s="20"/>
      <c r="S24" s="28"/>
      <c r="T24" s="28"/>
      <c r="U24" s="12"/>
      <c r="V24" s="20">
        <v>176.47039999999998</v>
      </c>
      <c r="W24" s="22"/>
      <c r="X24" s="23"/>
      <c r="Y24" s="23"/>
      <c r="Z24" s="23"/>
      <c r="AA24" s="23"/>
      <c r="AB24" s="17">
        <f t="shared" si="3"/>
        <v>176.47039999999998</v>
      </c>
      <c r="AC24" s="18">
        <f t="shared" si="4"/>
        <v>2842.0295999999998</v>
      </c>
    </row>
    <row r="25" spans="2:30" x14ac:dyDescent="0.25">
      <c r="B25" s="8" t="s">
        <v>44</v>
      </c>
      <c r="C25" s="25" t="s">
        <v>45</v>
      </c>
      <c r="D25" s="31"/>
      <c r="E25" s="32">
        <f>24876/2</f>
        <v>12438</v>
      </c>
      <c r="F25" s="27"/>
      <c r="G25" s="27"/>
      <c r="H25" s="27"/>
      <c r="I25" s="27"/>
      <c r="J25" s="27"/>
      <c r="K25" s="28"/>
      <c r="L25" s="28"/>
      <c r="M25" s="27"/>
      <c r="N25" s="28"/>
      <c r="O25" s="28"/>
      <c r="P25" s="30"/>
      <c r="Q25" s="15">
        <f t="shared" si="2"/>
        <v>12438</v>
      </c>
      <c r="R25" s="28"/>
      <c r="S25" s="28"/>
      <c r="T25" s="28"/>
      <c r="U25" s="32"/>
      <c r="V25" s="28">
        <v>1936</v>
      </c>
      <c r="W25" s="33"/>
      <c r="X25" s="34"/>
      <c r="Y25" s="34"/>
      <c r="Z25" s="34"/>
      <c r="AA25" s="34"/>
      <c r="AB25" s="17">
        <f t="shared" ref="AB25" si="10">SUM(R25:AA25)</f>
        <v>1936</v>
      </c>
      <c r="AC25" s="18">
        <f t="shared" si="4"/>
        <v>10502</v>
      </c>
    </row>
    <row r="26" spans="2:30" ht="15.75" thickBot="1" x14ac:dyDescent="0.3">
      <c r="B26" s="35" t="s">
        <v>46</v>
      </c>
      <c r="C26" s="36"/>
      <c r="D26" s="37"/>
      <c r="E26" s="38">
        <f t="shared" ref="E26:AC26" si="11">SUM(E4:E25)</f>
        <v>253031.14001578619</v>
      </c>
      <c r="F26" s="38">
        <f t="shared" si="11"/>
        <v>17400</v>
      </c>
      <c r="G26" s="38">
        <f t="shared" si="11"/>
        <v>17196</v>
      </c>
      <c r="H26" s="38">
        <f t="shared" si="11"/>
        <v>4356</v>
      </c>
      <c r="I26" s="38">
        <f t="shared" si="11"/>
        <v>17280</v>
      </c>
      <c r="J26" s="38">
        <f t="shared" si="11"/>
        <v>12200</v>
      </c>
      <c r="K26" s="38">
        <f t="shared" si="11"/>
        <v>25470.2</v>
      </c>
      <c r="L26" s="38">
        <f t="shared" si="11"/>
        <v>11587</v>
      </c>
      <c r="M26" s="38">
        <f t="shared" si="11"/>
        <v>1975</v>
      </c>
      <c r="N26" s="38">
        <f t="shared" si="11"/>
        <v>8277</v>
      </c>
      <c r="O26" s="38">
        <f t="shared" si="11"/>
        <v>24317.729335438155</v>
      </c>
      <c r="P26" s="38">
        <f t="shared" si="11"/>
        <v>30867.290668771493</v>
      </c>
      <c r="Q26" s="38">
        <f t="shared" si="11"/>
        <v>423957.36001999595</v>
      </c>
      <c r="R26" s="38">
        <f t="shared" si="11"/>
        <v>1030.273034805</v>
      </c>
      <c r="S26" s="38">
        <f t="shared" si="11"/>
        <v>4500</v>
      </c>
      <c r="T26" s="38">
        <f t="shared" si="11"/>
        <v>8818.8548011050352</v>
      </c>
      <c r="U26" s="38">
        <f t="shared" si="11"/>
        <v>16285.817601105038</v>
      </c>
      <c r="V26" s="38">
        <f t="shared" si="11"/>
        <v>49358.228273031804</v>
      </c>
      <c r="W26" s="38">
        <f t="shared" si="11"/>
        <v>2583</v>
      </c>
      <c r="X26" s="38">
        <f t="shared" si="11"/>
        <v>0</v>
      </c>
      <c r="Y26" s="38">
        <f t="shared" si="11"/>
        <v>0</v>
      </c>
      <c r="Z26" s="38">
        <f t="shared" si="11"/>
        <v>1933.28</v>
      </c>
      <c r="AA26" s="38">
        <f t="shared" si="11"/>
        <v>1933.28</v>
      </c>
      <c r="AB26" s="38">
        <f t="shared" si="11"/>
        <v>86442.733710046901</v>
      </c>
      <c r="AC26" s="38">
        <f t="shared" si="11"/>
        <v>337514.62630994897</v>
      </c>
      <c r="AD26" s="19"/>
    </row>
    <row r="27" spans="2:30" x14ac:dyDescent="0.25"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</row>
    <row r="28" spans="2:30" x14ac:dyDescent="0.25">
      <c r="B28" s="42"/>
      <c r="E28" s="40"/>
    </row>
    <row r="29" spans="2:30" x14ac:dyDescent="0.25">
      <c r="B29" t="s">
        <v>87</v>
      </c>
      <c r="C29" t="s">
        <v>91</v>
      </c>
      <c r="E29" s="40"/>
    </row>
    <row r="30" spans="2:30" x14ac:dyDescent="0.25">
      <c r="B30" t="s">
        <v>88</v>
      </c>
      <c r="C30" t="s">
        <v>92</v>
      </c>
      <c r="E30" s="40"/>
      <c r="Q30" s="19"/>
      <c r="AC30" s="19"/>
    </row>
    <row r="31" spans="2:30" x14ac:dyDescent="0.25">
      <c r="B31" t="s">
        <v>89</v>
      </c>
      <c r="C31" t="s">
        <v>93</v>
      </c>
      <c r="E31" s="40"/>
      <c r="Q31" s="19"/>
      <c r="AC31" s="19"/>
    </row>
    <row r="32" spans="2:30" x14ac:dyDescent="0.25">
      <c r="B32" t="s">
        <v>90</v>
      </c>
      <c r="C32" t="s">
        <v>94</v>
      </c>
      <c r="E32" s="40"/>
      <c r="Q32" s="19"/>
      <c r="AC32" s="19"/>
    </row>
    <row r="33" spans="2:29" x14ac:dyDescent="0.25">
      <c r="B33" t="s">
        <v>44</v>
      </c>
      <c r="C33" t="s">
        <v>95</v>
      </c>
      <c r="Q33" s="19"/>
      <c r="AC33" s="19"/>
    </row>
    <row r="34" spans="2:29" x14ac:dyDescent="0.25">
      <c r="Q34" s="19"/>
      <c r="AC34" s="19"/>
    </row>
  </sheetData>
  <pageMargins left="0" right="0.70866141732283472" top="0" bottom="0" header="0.31496062992125984" footer="0.31496062992125984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2"/>
  <sheetViews>
    <sheetView workbookViewId="0">
      <selection activeCell="B21" sqref="B21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9.28515625" bestFit="1" customWidth="1"/>
    <col min="7" max="14" width="8.7109375" customWidth="1"/>
    <col min="15" max="15" width="9.5703125" bestFit="1" customWidth="1"/>
    <col min="16" max="17" width="9.5703125" customWidth="1"/>
    <col min="18" max="18" width="12.5703125" bestFit="1" customWidth="1"/>
    <col min="19" max="19" width="7.42578125" customWidth="1"/>
    <col min="20" max="21" width="8.7109375" bestFit="1" customWidth="1"/>
    <col min="22" max="22" width="9" customWidth="1"/>
    <col min="23" max="23" width="9.5703125" customWidth="1"/>
    <col min="24" max="24" width="7.85546875" customWidth="1"/>
    <col min="25" max="26" width="8.5703125" customWidth="1"/>
    <col min="27" max="28" width="10.140625" customWidth="1"/>
    <col min="29" max="29" width="9.5703125" customWidth="1"/>
    <col min="30" max="30" width="12.5703125" bestFit="1" customWidth="1"/>
    <col min="31" max="31" width="14.140625" bestFit="1" customWidth="1"/>
  </cols>
  <sheetData>
    <row r="1" spans="2:31" ht="18.75" x14ac:dyDescent="0.25">
      <c r="E1" s="1"/>
      <c r="F1" s="2" t="s">
        <v>72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2:31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31" ht="48.75" customHeight="1" x14ac:dyDescent="0.25">
      <c r="B3" s="47"/>
      <c r="C3" s="47" t="s">
        <v>1</v>
      </c>
      <c r="D3" s="4" t="s">
        <v>2</v>
      </c>
      <c r="E3" s="47" t="s">
        <v>3</v>
      </c>
      <c r="F3" s="47" t="s">
        <v>47</v>
      </c>
      <c r="G3" s="47" t="s">
        <v>48</v>
      </c>
      <c r="H3" s="47" t="s">
        <v>49</v>
      </c>
      <c r="I3" s="47" t="s">
        <v>50</v>
      </c>
      <c r="J3" s="47" t="s">
        <v>51</v>
      </c>
      <c r="K3" s="47" t="s">
        <v>52</v>
      </c>
      <c r="L3" s="47" t="s">
        <v>11</v>
      </c>
      <c r="M3" s="47" t="s">
        <v>53</v>
      </c>
      <c r="N3" s="47" t="s">
        <v>54</v>
      </c>
      <c r="O3" s="47" t="s">
        <v>69</v>
      </c>
      <c r="P3" s="47" t="s">
        <v>70</v>
      </c>
      <c r="Q3" s="47" t="s">
        <v>71</v>
      </c>
      <c r="R3" s="48" t="s">
        <v>96</v>
      </c>
      <c r="S3" s="5" t="s">
        <v>15</v>
      </c>
      <c r="T3" s="5" t="s">
        <v>16</v>
      </c>
      <c r="U3" s="5" t="s">
        <v>17</v>
      </c>
      <c r="V3" s="5" t="s">
        <v>18</v>
      </c>
      <c r="W3" s="5" t="s">
        <v>19</v>
      </c>
      <c r="X3" s="6" t="s">
        <v>20</v>
      </c>
      <c r="Y3" s="6" t="s">
        <v>21</v>
      </c>
      <c r="Z3" s="7" t="s">
        <v>22</v>
      </c>
      <c r="AA3" s="49" t="s">
        <v>83</v>
      </c>
      <c r="AB3" s="49" t="s">
        <v>84</v>
      </c>
      <c r="AC3" s="49" t="s">
        <v>85</v>
      </c>
      <c r="AD3" s="50" t="s">
        <v>86</v>
      </c>
    </row>
    <row r="4" spans="2:31" x14ac:dyDescent="0.25">
      <c r="B4" s="8" t="s">
        <v>87</v>
      </c>
      <c r="C4" s="9" t="s">
        <v>23</v>
      </c>
      <c r="D4" s="10">
        <v>17</v>
      </c>
      <c r="E4" s="11">
        <v>19286.689999999999</v>
      </c>
      <c r="F4" s="13"/>
      <c r="G4" s="12">
        <v>300</v>
      </c>
      <c r="H4" s="13"/>
      <c r="I4" s="12"/>
      <c r="J4" s="12"/>
      <c r="K4" s="12"/>
      <c r="L4" s="12"/>
      <c r="M4" s="12"/>
      <c r="N4" s="12"/>
      <c r="O4" s="14"/>
      <c r="P4" s="44"/>
      <c r="Q4" s="14"/>
      <c r="R4" s="15">
        <f>SUM(E4:Q4)</f>
        <v>19586.689999999999</v>
      </c>
      <c r="S4" s="12"/>
      <c r="T4" s="12"/>
      <c r="U4" s="12"/>
      <c r="V4" s="12">
        <f t="shared" ref="V4:V18" si="0">(E4*0.07)</f>
        <v>1350.0683000000001</v>
      </c>
      <c r="W4" s="12">
        <v>3400.1570879999995</v>
      </c>
      <c r="X4" s="16"/>
      <c r="Y4" s="17"/>
      <c r="Z4" s="17"/>
      <c r="AA4" s="17"/>
      <c r="AB4" s="17"/>
      <c r="AC4" s="17">
        <f>SUM(S4:AB4)</f>
        <v>4750.2253879999998</v>
      </c>
      <c r="AD4" s="18">
        <f>+R4-AC4</f>
        <v>14836.464612</v>
      </c>
    </row>
    <row r="5" spans="2:31" x14ac:dyDescent="0.25">
      <c r="B5" s="8" t="s">
        <v>87</v>
      </c>
      <c r="C5" s="9" t="s">
        <v>25</v>
      </c>
      <c r="D5" s="10">
        <v>14</v>
      </c>
      <c r="E5" s="11">
        <v>14917.51</v>
      </c>
      <c r="F5" s="13"/>
      <c r="G5" s="20">
        <v>300</v>
      </c>
      <c r="H5" s="13"/>
      <c r="I5" s="20"/>
      <c r="J5" s="20"/>
      <c r="K5" s="20"/>
      <c r="L5" s="20"/>
      <c r="M5" s="20"/>
      <c r="N5" s="20"/>
      <c r="O5" s="21"/>
      <c r="P5" s="44"/>
      <c r="Q5" s="21"/>
      <c r="R5" s="15">
        <f t="shared" ref="R5:R21" si="1">SUM(E5:Q5)</f>
        <v>15217.51</v>
      </c>
      <c r="S5" s="20"/>
      <c r="T5" s="20"/>
      <c r="U5" s="20"/>
      <c r="V5" s="12">
        <f t="shared" si="0"/>
        <v>1044.2257000000002</v>
      </c>
      <c r="W5" s="20">
        <v>2384.42164</v>
      </c>
      <c r="X5" s="22"/>
      <c r="Y5" s="23"/>
      <c r="Z5" s="23"/>
      <c r="AA5" s="23"/>
      <c r="AB5" s="23"/>
      <c r="AC5" s="17">
        <f t="shared" ref="AC5:AC21" si="2">SUM(S5:AB5)</f>
        <v>3428.6473400000004</v>
      </c>
      <c r="AD5" s="18">
        <f t="shared" ref="AD5:AD21" si="3">+R5-AC5</f>
        <v>11788.862659999999</v>
      </c>
    </row>
    <row r="6" spans="2:31" ht="15" customHeight="1" x14ac:dyDescent="0.25">
      <c r="B6" s="8" t="s">
        <v>88</v>
      </c>
      <c r="C6" s="9" t="s">
        <v>27</v>
      </c>
      <c r="D6" s="10">
        <v>13</v>
      </c>
      <c r="E6" s="11">
        <v>15022.1</v>
      </c>
      <c r="F6" s="43">
        <v>900</v>
      </c>
      <c r="G6" s="43">
        <v>900</v>
      </c>
      <c r="H6" s="43">
        <v>900</v>
      </c>
      <c r="I6" s="13">
        <v>1000</v>
      </c>
      <c r="J6" s="20"/>
      <c r="K6" s="20">
        <v>750</v>
      </c>
      <c r="L6" s="13"/>
      <c r="M6" s="20"/>
      <c r="N6" s="20"/>
      <c r="O6" s="21">
        <f t="shared" ref="O6:O18" si="4">(E6/15)*3</f>
        <v>3004.42</v>
      </c>
      <c r="P6" s="44"/>
      <c r="Q6" s="21"/>
      <c r="R6" s="15">
        <f t="shared" si="1"/>
        <v>22476.519999999997</v>
      </c>
      <c r="S6" s="20"/>
      <c r="T6" s="20"/>
      <c r="U6" s="20"/>
      <c r="V6" s="12">
        <f t="shared" si="0"/>
        <v>1051.547</v>
      </c>
      <c r="W6" s="20">
        <v>3132.6453119999996</v>
      </c>
      <c r="X6" s="22"/>
      <c r="Y6" s="23"/>
      <c r="Z6" s="23"/>
      <c r="AA6" s="23"/>
      <c r="AB6" s="23"/>
      <c r="AC6" s="17">
        <f t="shared" si="2"/>
        <v>4184.1923119999992</v>
      </c>
      <c r="AD6" s="18">
        <f t="shared" si="3"/>
        <v>18292.327687999998</v>
      </c>
    </row>
    <row r="7" spans="2:31" ht="15" customHeight="1" x14ac:dyDescent="0.25">
      <c r="B7" s="8" t="s">
        <v>88</v>
      </c>
      <c r="C7" s="9" t="s">
        <v>28</v>
      </c>
      <c r="D7" s="10">
        <v>13</v>
      </c>
      <c r="E7" s="11">
        <v>15022.1</v>
      </c>
      <c r="F7" s="43">
        <v>900</v>
      </c>
      <c r="G7" s="43">
        <v>900</v>
      </c>
      <c r="H7" s="43">
        <v>900</v>
      </c>
      <c r="I7" s="13">
        <v>1000</v>
      </c>
      <c r="J7" s="20"/>
      <c r="K7" s="20">
        <v>750</v>
      </c>
      <c r="L7" s="13"/>
      <c r="M7" s="20"/>
      <c r="N7" s="20"/>
      <c r="O7" s="21">
        <f t="shared" si="4"/>
        <v>3004.42</v>
      </c>
      <c r="P7" s="44"/>
      <c r="Q7" s="21"/>
      <c r="R7" s="15">
        <f t="shared" si="1"/>
        <v>22476.519999999997</v>
      </c>
      <c r="S7" s="20"/>
      <c r="T7" s="20"/>
      <c r="U7" s="20"/>
      <c r="V7" s="12">
        <f t="shared" si="0"/>
        <v>1051.547</v>
      </c>
      <c r="W7" s="20">
        <v>3132.6453119999996</v>
      </c>
      <c r="X7" s="22"/>
      <c r="Y7" s="23"/>
      <c r="Z7" s="23"/>
      <c r="AA7" s="23"/>
      <c r="AB7" s="23"/>
      <c r="AC7" s="17">
        <f t="shared" si="2"/>
        <v>4184.1923119999992</v>
      </c>
      <c r="AD7" s="18">
        <f t="shared" si="3"/>
        <v>18292.327687999998</v>
      </c>
    </row>
    <row r="8" spans="2:31" ht="15" customHeight="1" x14ac:dyDescent="0.25">
      <c r="B8" s="8" t="s">
        <v>88</v>
      </c>
      <c r="C8" s="9" t="s">
        <v>29</v>
      </c>
      <c r="D8" s="10">
        <v>9</v>
      </c>
      <c r="E8" s="11">
        <v>11333.03</v>
      </c>
      <c r="F8" s="43">
        <v>900</v>
      </c>
      <c r="G8" s="43">
        <v>900</v>
      </c>
      <c r="H8" s="43">
        <v>900</v>
      </c>
      <c r="I8" s="13">
        <v>1000</v>
      </c>
      <c r="J8" s="20"/>
      <c r="K8" s="20">
        <v>566</v>
      </c>
      <c r="L8" s="13"/>
      <c r="M8" s="20"/>
      <c r="N8" s="20"/>
      <c r="O8" s="21">
        <f t="shared" si="4"/>
        <v>2266.6060000000002</v>
      </c>
      <c r="P8" s="44"/>
      <c r="Q8" s="21"/>
      <c r="R8" s="15">
        <f t="shared" si="1"/>
        <v>17865.636000000002</v>
      </c>
      <c r="S8" s="20"/>
      <c r="T8" s="20"/>
      <c r="U8" s="20"/>
      <c r="V8" s="12">
        <f t="shared" si="0"/>
        <v>793.3121000000001</v>
      </c>
      <c r="W8" s="20">
        <v>2188.2990328000001</v>
      </c>
      <c r="X8" s="22"/>
      <c r="Y8" s="23"/>
      <c r="Z8" s="23">
        <v>2938.2</v>
      </c>
      <c r="AA8" s="23"/>
      <c r="AB8" s="23"/>
      <c r="AC8" s="17">
        <f t="shared" si="2"/>
        <v>5919.8111327999995</v>
      </c>
      <c r="AD8" s="18">
        <f t="shared" si="3"/>
        <v>11945.824867200003</v>
      </c>
    </row>
    <row r="9" spans="2:31" ht="15" customHeight="1" x14ac:dyDescent="0.25">
      <c r="B9" s="8" t="s">
        <v>89</v>
      </c>
      <c r="C9" s="9" t="s">
        <v>30</v>
      </c>
      <c r="D9" s="10">
        <v>10</v>
      </c>
      <c r="E9" s="11">
        <v>15424.35954953621</v>
      </c>
      <c r="F9" s="13">
        <v>1133</v>
      </c>
      <c r="G9" s="13">
        <v>1133</v>
      </c>
      <c r="H9" s="13">
        <v>1133</v>
      </c>
      <c r="I9" s="13">
        <v>1000</v>
      </c>
      <c r="J9" s="20"/>
      <c r="K9" s="20">
        <v>606</v>
      </c>
      <c r="L9" s="13"/>
      <c r="M9" s="20">
        <v>999</v>
      </c>
      <c r="N9" s="20"/>
      <c r="O9" s="21">
        <f t="shared" si="4"/>
        <v>3084.8719099072414</v>
      </c>
      <c r="P9" s="44">
        <f>(E9/15)*7</f>
        <v>7198.0344564502302</v>
      </c>
      <c r="Q9" s="21"/>
      <c r="R9" s="15">
        <f t="shared" si="1"/>
        <v>31711.26591589368</v>
      </c>
      <c r="S9" s="20"/>
      <c r="T9" s="20"/>
      <c r="U9" s="20">
        <f t="shared" ref="U9:U18" si="5">(E9*0.07)</f>
        <v>1079.7051684675348</v>
      </c>
      <c r="V9" s="12">
        <f t="shared" si="0"/>
        <v>1079.7051684675348</v>
      </c>
      <c r="W9" s="20">
        <v>4238.5563547345555</v>
      </c>
      <c r="X9" s="22"/>
      <c r="Y9" s="23"/>
      <c r="Z9" s="23"/>
      <c r="AA9" s="23"/>
      <c r="AB9" s="23"/>
      <c r="AC9" s="17">
        <f t="shared" si="2"/>
        <v>6397.9666916696251</v>
      </c>
      <c r="AD9" s="18">
        <f t="shared" si="3"/>
        <v>25313.299224224054</v>
      </c>
    </row>
    <row r="10" spans="2:31" ht="15" customHeight="1" x14ac:dyDescent="0.25">
      <c r="B10" s="8" t="s">
        <v>89</v>
      </c>
      <c r="C10" s="9" t="s">
        <v>31</v>
      </c>
      <c r="D10" s="10">
        <v>8</v>
      </c>
      <c r="E10" s="11">
        <v>13360.854858749999</v>
      </c>
      <c r="F10" s="13">
        <v>1133</v>
      </c>
      <c r="G10" s="13">
        <v>1133</v>
      </c>
      <c r="H10" s="13">
        <v>1133</v>
      </c>
      <c r="I10" s="13">
        <v>1000</v>
      </c>
      <c r="J10" s="12"/>
      <c r="K10" s="20">
        <v>525</v>
      </c>
      <c r="L10" s="13">
        <f>225</f>
        <v>225</v>
      </c>
      <c r="M10" s="13">
        <v>925</v>
      </c>
      <c r="N10" s="13"/>
      <c r="O10" s="21">
        <f t="shared" si="4"/>
        <v>2672.1709717499998</v>
      </c>
      <c r="P10" s="44">
        <f>(E10/15)*7</f>
        <v>6235.0656007500002</v>
      </c>
      <c r="Q10" s="21"/>
      <c r="R10" s="15">
        <f t="shared" si="1"/>
        <v>28342.091431249995</v>
      </c>
      <c r="S10" s="20">
        <f t="shared" ref="S10:S17" si="6">(E10*0.01)</f>
        <v>133.6085485875</v>
      </c>
      <c r="T10" s="20">
        <f>1000</f>
        <v>1000</v>
      </c>
      <c r="U10" s="20">
        <f t="shared" si="5"/>
        <v>935.2598401125</v>
      </c>
      <c r="V10" s="12">
        <f t="shared" si="0"/>
        <v>935.2598401125</v>
      </c>
      <c r="W10" s="20">
        <v>3626.133283704</v>
      </c>
      <c r="X10" s="22"/>
      <c r="Y10" s="23"/>
      <c r="Z10" s="23"/>
      <c r="AA10" s="23">
        <f>966.64</f>
        <v>966.64</v>
      </c>
      <c r="AB10" s="23"/>
      <c r="AC10" s="17">
        <f t="shared" si="2"/>
        <v>7596.9015125165006</v>
      </c>
      <c r="AD10" s="18">
        <f t="shared" si="3"/>
        <v>20745.189918733493</v>
      </c>
      <c r="AE10" s="19"/>
    </row>
    <row r="11" spans="2:31" ht="22.5" x14ac:dyDescent="0.25">
      <c r="B11" s="8" t="s">
        <v>89</v>
      </c>
      <c r="C11" s="25" t="s">
        <v>32</v>
      </c>
      <c r="D11" s="26">
        <v>7</v>
      </c>
      <c r="E11" s="11">
        <v>12482.481170250001</v>
      </c>
      <c r="F11" s="13">
        <v>1133</v>
      </c>
      <c r="G11" s="13">
        <v>1133</v>
      </c>
      <c r="H11" s="13">
        <v>1133</v>
      </c>
      <c r="I11" s="13">
        <v>1000</v>
      </c>
      <c r="J11" s="12">
        <v>295</v>
      </c>
      <c r="K11" s="20">
        <v>491</v>
      </c>
      <c r="L11" s="20">
        <v>325</v>
      </c>
      <c r="M11" s="20">
        <v>893</v>
      </c>
      <c r="N11" s="20"/>
      <c r="O11" s="21">
        <f t="shared" si="4"/>
        <v>2496.4962340500006</v>
      </c>
      <c r="P11" s="44">
        <f>(E11/15)*7</f>
        <v>5825.157879450001</v>
      </c>
      <c r="Q11" s="21"/>
      <c r="R11" s="15">
        <f t="shared" si="1"/>
        <v>27207.135283750002</v>
      </c>
      <c r="S11" s="20">
        <f t="shared" si="6"/>
        <v>124.82481170250001</v>
      </c>
      <c r="T11" s="20"/>
      <c r="U11" s="20">
        <f t="shared" si="5"/>
        <v>873.7736819175002</v>
      </c>
      <c r="V11" s="12">
        <f t="shared" si="0"/>
        <v>873.7736819175002</v>
      </c>
      <c r="W11" s="20">
        <v>3401.1256949904</v>
      </c>
      <c r="X11" s="23"/>
      <c r="Y11" s="22"/>
      <c r="Z11" s="22"/>
      <c r="AA11" s="22"/>
      <c r="AB11" s="22"/>
      <c r="AC11" s="17">
        <f t="shared" si="2"/>
        <v>5273.4978705279009</v>
      </c>
      <c r="AD11" s="18">
        <f t="shared" si="3"/>
        <v>21933.637413222103</v>
      </c>
    </row>
    <row r="12" spans="2:31" x14ac:dyDescent="0.25">
      <c r="B12" s="8" t="s">
        <v>89</v>
      </c>
      <c r="C12" s="25" t="s">
        <v>33</v>
      </c>
      <c r="D12" s="26">
        <v>7</v>
      </c>
      <c r="E12" s="11">
        <v>12482.481170250001</v>
      </c>
      <c r="F12" s="13">
        <v>1133</v>
      </c>
      <c r="G12" s="13">
        <v>1133</v>
      </c>
      <c r="H12" s="13">
        <v>1133</v>
      </c>
      <c r="I12" s="13">
        <v>1000</v>
      </c>
      <c r="J12" s="12">
        <v>295</v>
      </c>
      <c r="K12" s="20">
        <v>491</v>
      </c>
      <c r="L12" s="20"/>
      <c r="M12" s="20">
        <v>893</v>
      </c>
      <c r="N12" s="20">
        <v>800</v>
      </c>
      <c r="O12" s="21">
        <f t="shared" si="4"/>
        <v>2496.4962340500006</v>
      </c>
      <c r="P12" s="44">
        <f>(E12/15)*7</f>
        <v>5825.157879450001</v>
      </c>
      <c r="Q12" s="21">
        <v>825</v>
      </c>
      <c r="R12" s="15">
        <f t="shared" si="1"/>
        <v>28507.135283750002</v>
      </c>
      <c r="S12" s="20">
        <f t="shared" si="6"/>
        <v>124.82481170250001</v>
      </c>
      <c r="T12" s="20"/>
      <c r="U12" s="20">
        <f t="shared" si="5"/>
        <v>873.7736819175002</v>
      </c>
      <c r="V12" s="12">
        <f t="shared" si="0"/>
        <v>873.7736819175002</v>
      </c>
      <c r="W12" s="20">
        <v>3515.7856949904003</v>
      </c>
      <c r="X12" s="22"/>
      <c r="Y12" s="23"/>
      <c r="Z12" s="22"/>
      <c r="AA12" s="22"/>
      <c r="AB12" s="22"/>
      <c r="AC12" s="17">
        <f t="shared" si="2"/>
        <v>5388.1578705279007</v>
      </c>
      <c r="AD12" s="18">
        <f t="shared" si="3"/>
        <v>23118.977413222099</v>
      </c>
    </row>
    <row r="13" spans="2:31" x14ac:dyDescent="0.25">
      <c r="B13" s="8" t="s">
        <v>89</v>
      </c>
      <c r="C13" s="9" t="s">
        <v>35</v>
      </c>
      <c r="D13" s="10">
        <v>5</v>
      </c>
      <c r="E13" s="11">
        <v>10948.878517500001</v>
      </c>
      <c r="F13" s="13">
        <v>1133</v>
      </c>
      <c r="G13" s="13">
        <v>1133</v>
      </c>
      <c r="H13" s="13">
        <v>1133</v>
      </c>
      <c r="I13" s="13">
        <v>1000</v>
      </c>
      <c r="J13" s="13">
        <v>260</v>
      </c>
      <c r="K13" s="20"/>
      <c r="L13" s="13">
        <v>150</v>
      </c>
      <c r="M13" s="20">
        <v>838</v>
      </c>
      <c r="N13" s="20"/>
      <c r="O13" s="21">
        <f t="shared" si="4"/>
        <v>2189.7757035000004</v>
      </c>
      <c r="P13" s="44"/>
      <c r="Q13" s="21"/>
      <c r="R13" s="15">
        <f t="shared" si="1"/>
        <v>18785.654221000001</v>
      </c>
      <c r="S13" s="20">
        <f t="shared" si="6"/>
        <v>109.48878517500002</v>
      </c>
      <c r="T13" s="20">
        <f>500</f>
        <v>500</v>
      </c>
      <c r="U13" s="20">
        <f t="shared" si="5"/>
        <v>766.42149622500017</v>
      </c>
      <c r="V13" s="12">
        <f t="shared" si="0"/>
        <v>766.42149622500017</v>
      </c>
      <c r="W13" s="20">
        <v>2236.6652004718003</v>
      </c>
      <c r="X13" s="22"/>
      <c r="Y13" s="23"/>
      <c r="Z13" s="23"/>
      <c r="AA13" s="23"/>
      <c r="AB13" s="23"/>
      <c r="AC13" s="17">
        <f t="shared" si="2"/>
        <v>4378.9969780968004</v>
      </c>
      <c r="AD13" s="18">
        <f t="shared" si="3"/>
        <v>14406.6572429032</v>
      </c>
    </row>
    <row r="14" spans="2:31" x14ac:dyDescent="0.25">
      <c r="B14" s="8" t="s">
        <v>89</v>
      </c>
      <c r="C14" s="9" t="s">
        <v>36</v>
      </c>
      <c r="D14" s="10">
        <v>4</v>
      </c>
      <c r="E14" s="11">
        <v>9610.9981694999988</v>
      </c>
      <c r="F14" s="13">
        <v>1133</v>
      </c>
      <c r="G14" s="13">
        <v>1133</v>
      </c>
      <c r="H14" s="13">
        <v>1133</v>
      </c>
      <c r="I14" s="13">
        <v>1000</v>
      </c>
      <c r="J14" s="13">
        <v>230</v>
      </c>
      <c r="K14" s="20"/>
      <c r="L14" s="13">
        <v>150</v>
      </c>
      <c r="M14" s="20">
        <v>790</v>
      </c>
      <c r="N14" s="20"/>
      <c r="O14" s="21">
        <f t="shared" si="4"/>
        <v>1922.1996338999998</v>
      </c>
      <c r="P14" s="44"/>
      <c r="Q14" s="21"/>
      <c r="R14" s="15">
        <f t="shared" si="1"/>
        <v>17102.197803399999</v>
      </c>
      <c r="S14" s="20">
        <f t="shared" si="6"/>
        <v>96.109981694999988</v>
      </c>
      <c r="T14" s="20"/>
      <c r="U14" s="20">
        <f t="shared" si="5"/>
        <v>672.76987186500003</v>
      </c>
      <c r="V14" s="12">
        <f t="shared" si="0"/>
        <v>672.76987186500003</v>
      </c>
      <c r="W14" s="20">
        <v>1913.9864339057199</v>
      </c>
      <c r="X14" s="22"/>
      <c r="Y14" s="23"/>
      <c r="Z14" s="23"/>
      <c r="AA14" s="23"/>
      <c r="AB14" s="23"/>
      <c r="AC14" s="17">
        <f t="shared" si="2"/>
        <v>3355.6361593307201</v>
      </c>
      <c r="AD14" s="18">
        <f t="shared" si="3"/>
        <v>13746.561644069279</v>
      </c>
    </row>
    <row r="15" spans="2:31" x14ac:dyDescent="0.25">
      <c r="B15" s="8" t="s">
        <v>89</v>
      </c>
      <c r="C15" s="9" t="s">
        <v>37</v>
      </c>
      <c r="D15" s="10">
        <v>4</v>
      </c>
      <c r="E15" s="11">
        <v>9610.9981694999988</v>
      </c>
      <c r="F15" s="13">
        <v>1133</v>
      </c>
      <c r="G15" s="13">
        <v>1133</v>
      </c>
      <c r="H15" s="13">
        <v>1133</v>
      </c>
      <c r="I15" s="13">
        <v>1000</v>
      </c>
      <c r="J15" s="13">
        <v>230</v>
      </c>
      <c r="K15" s="20"/>
      <c r="L15" s="13">
        <v>150</v>
      </c>
      <c r="M15" s="20">
        <v>790</v>
      </c>
      <c r="N15" s="20"/>
      <c r="O15" s="21">
        <f t="shared" si="4"/>
        <v>1922.1996338999998</v>
      </c>
      <c r="P15" s="44">
        <f>(E15/15)*7</f>
        <v>4485.1324790999988</v>
      </c>
      <c r="Q15" s="21"/>
      <c r="R15" s="15">
        <f t="shared" si="1"/>
        <v>21587.330282499999</v>
      </c>
      <c r="S15" s="20">
        <f t="shared" si="6"/>
        <v>96.109981694999988</v>
      </c>
      <c r="T15" s="20">
        <f>500</f>
        <v>500</v>
      </c>
      <c r="U15" s="20">
        <f t="shared" si="5"/>
        <v>672.76987186500003</v>
      </c>
      <c r="V15" s="12">
        <f t="shared" si="0"/>
        <v>672.76987186500003</v>
      </c>
      <c r="W15" s="20">
        <v>2392.9985826735997</v>
      </c>
      <c r="X15" s="22"/>
      <c r="Y15" s="23"/>
      <c r="Z15" s="23"/>
      <c r="AA15" s="23"/>
      <c r="AB15" s="23"/>
      <c r="AC15" s="17">
        <f t="shared" si="2"/>
        <v>4334.6483080986</v>
      </c>
      <c r="AD15" s="18">
        <f t="shared" si="3"/>
        <v>17252.681974401399</v>
      </c>
    </row>
    <row r="16" spans="2:31" x14ac:dyDescent="0.25">
      <c r="B16" s="8" t="s">
        <v>89</v>
      </c>
      <c r="C16" s="9" t="s">
        <v>38</v>
      </c>
      <c r="D16" s="10">
        <v>2</v>
      </c>
      <c r="E16" s="11">
        <v>8024.8779607499991</v>
      </c>
      <c r="F16" s="13">
        <v>1133</v>
      </c>
      <c r="G16" s="13">
        <v>1133</v>
      </c>
      <c r="H16" s="13">
        <v>1133</v>
      </c>
      <c r="I16" s="13">
        <v>1000</v>
      </c>
      <c r="J16" s="13">
        <v>190</v>
      </c>
      <c r="K16" s="20"/>
      <c r="L16" s="13">
        <v>150</v>
      </c>
      <c r="M16" s="20">
        <v>733</v>
      </c>
      <c r="N16" s="20">
        <v>800</v>
      </c>
      <c r="O16" s="21">
        <f t="shared" si="4"/>
        <v>1604.9755921499996</v>
      </c>
      <c r="P16" s="44">
        <f>(E16/15)*7</f>
        <v>3744.9430483499991</v>
      </c>
      <c r="Q16" s="21">
        <f>615+1140</f>
        <v>1755</v>
      </c>
      <c r="R16" s="15">
        <f t="shared" si="1"/>
        <v>21401.79660125</v>
      </c>
      <c r="S16" s="20">
        <f t="shared" si="6"/>
        <v>80.248779607499998</v>
      </c>
      <c r="T16" s="20">
        <f>1000</f>
        <v>1000</v>
      </c>
      <c r="U16" s="20">
        <f t="shared" si="5"/>
        <v>561.74145725250003</v>
      </c>
      <c r="V16" s="12">
        <f t="shared" si="0"/>
        <v>561.74145725250003</v>
      </c>
      <c r="W16" s="20">
        <v>2203.7859472216001</v>
      </c>
      <c r="X16" s="22"/>
      <c r="Y16" s="23"/>
      <c r="Z16" s="23"/>
      <c r="AA16" s="23"/>
      <c r="AB16" s="23"/>
      <c r="AC16" s="17">
        <f t="shared" si="2"/>
        <v>4407.5176413340996</v>
      </c>
      <c r="AD16" s="18">
        <f t="shared" si="3"/>
        <v>16994.2789599159</v>
      </c>
    </row>
    <row r="17" spans="2:31" x14ac:dyDescent="0.25">
      <c r="B17" s="8" t="s">
        <v>89</v>
      </c>
      <c r="C17" s="9" t="s">
        <v>39</v>
      </c>
      <c r="D17" s="10">
        <v>2</v>
      </c>
      <c r="E17" s="11">
        <v>8024.8779607499991</v>
      </c>
      <c r="F17" s="13">
        <v>1133</v>
      </c>
      <c r="G17" s="13">
        <v>1133</v>
      </c>
      <c r="H17" s="13">
        <v>1133</v>
      </c>
      <c r="I17" s="13">
        <v>1000</v>
      </c>
      <c r="J17" s="13">
        <v>190</v>
      </c>
      <c r="K17" s="20"/>
      <c r="L17" s="13">
        <v>150</v>
      </c>
      <c r="M17" s="20">
        <v>733</v>
      </c>
      <c r="N17" s="20"/>
      <c r="O17" s="21">
        <f t="shared" si="4"/>
        <v>1604.9755921499996</v>
      </c>
      <c r="P17" s="44">
        <f>(E17/15)*7</f>
        <v>3744.9430483499991</v>
      </c>
      <c r="Q17" s="21"/>
      <c r="R17" s="15">
        <f t="shared" si="1"/>
        <v>18846.79660125</v>
      </c>
      <c r="S17" s="20">
        <f t="shared" si="6"/>
        <v>80.248779607499998</v>
      </c>
      <c r="T17" s="20">
        <f>500</f>
        <v>500</v>
      </c>
      <c r="U17" s="20">
        <f t="shared" si="5"/>
        <v>561.74145725250003</v>
      </c>
      <c r="V17" s="12">
        <f t="shared" si="0"/>
        <v>561.74145725250003</v>
      </c>
      <c r="W17" s="20">
        <v>1930.9119472216003</v>
      </c>
      <c r="X17" s="22"/>
      <c r="Y17" s="23"/>
      <c r="Z17" s="23"/>
      <c r="AA17" s="23">
        <f>966.64</f>
        <v>966.64</v>
      </c>
      <c r="AB17" s="23">
        <f>1933.28</f>
        <v>1933.28</v>
      </c>
      <c r="AC17" s="17">
        <f t="shared" si="2"/>
        <v>6534.5636413340999</v>
      </c>
      <c r="AD17" s="18">
        <f t="shared" si="3"/>
        <v>12312.2329599159</v>
      </c>
    </row>
    <row r="18" spans="2:31" ht="22.5" x14ac:dyDescent="0.25">
      <c r="B18" s="8" t="s">
        <v>89</v>
      </c>
      <c r="C18" s="9" t="s">
        <v>41</v>
      </c>
      <c r="D18" s="10">
        <v>1</v>
      </c>
      <c r="E18" s="11">
        <v>7531.9769857499987</v>
      </c>
      <c r="F18" s="13">
        <v>1133</v>
      </c>
      <c r="G18" s="13">
        <v>1133</v>
      </c>
      <c r="H18" s="13">
        <v>1133</v>
      </c>
      <c r="I18" s="13">
        <v>1000</v>
      </c>
      <c r="J18" s="13">
        <v>180</v>
      </c>
      <c r="K18" s="20"/>
      <c r="L18" s="13">
        <v>150</v>
      </c>
      <c r="M18" s="20">
        <v>715</v>
      </c>
      <c r="N18" s="20"/>
      <c r="O18" s="21">
        <f t="shared" si="4"/>
        <v>1506.3953971499998</v>
      </c>
      <c r="P18" s="44">
        <f>(E18/15)*7</f>
        <v>3514.9225933499993</v>
      </c>
      <c r="Q18" s="21">
        <f>1140*2</f>
        <v>2280</v>
      </c>
      <c r="R18" s="15">
        <f t="shared" si="1"/>
        <v>20277.294976249999</v>
      </c>
      <c r="S18" s="20"/>
      <c r="T18" s="20"/>
      <c r="U18" s="20">
        <f t="shared" si="5"/>
        <v>527.23838900249996</v>
      </c>
      <c r="V18" s="12">
        <f t="shared" si="0"/>
        <v>527.23838900249996</v>
      </c>
      <c r="W18" s="20">
        <v>2031.0473495415999</v>
      </c>
      <c r="X18" s="22"/>
      <c r="Y18" s="23"/>
      <c r="Z18" s="23">
        <v>2735.66</v>
      </c>
      <c r="AA18" s="23"/>
      <c r="AB18" s="23"/>
      <c r="AC18" s="17">
        <f t="shared" si="2"/>
        <v>5821.1841275465995</v>
      </c>
      <c r="AD18" s="18">
        <f t="shared" si="3"/>
        <v>14456.1108487034</v>
      </c>
    </row>
    <row r="19" spans="2:31" ht="22.5" x14ac:dyDescent="0.25">
      <c r="B19" s="8" t="s">
        <v>90</v>
      </c>
      <c r="C19" s="9" t="s">
        <v>42</v>
      </c>
      <c r="D19" s="10"/>
      <c r="E19" s="11">
        <v>6069.96</v>
      </c>
      <c r="F19" s="30"/>
      <c r="G19" s="30"/>
      <c r="H19" s="30"/>
      <c r="I19" s="27"/>
      <c r="J19" s="28"/>
      <c r="K19" s="28"/>
      <c r="L19" s="28"/>
      <c r="M19" s="20"/>
      <c r="N19" s="20"/>
      <c r="O19" s="21"/>
      <c r="P19" s="45"/>
      <c r="Q19" s="21"/>
      <c r="R19" s="15">
        <f t="shared" si="1"/>
        <v>6069.96</v>
      </c>
      <c r="S19" s="20"/>
      <c r="T19" s="28"/>
      <c r="U19" s="28"/>
      <c r="V19" s="12"/>
      <c r="W19" s="20">
        <v>527.76699999999994</v>
      </c>
      <c r="X19" s="22"/>
      <c r="Y19" s="23"/>
      <c r="Z19" s="23"/>
      <c r="AA19" s="23"/>
      <c r="AB19" s="23"/>
      <c r="AC19" s="17">
        <f t="shared" si="2"/>
        <v>527.76699999999994</v>
      </c>
      <c r="AD19" s="18">
        <f t="shared" si="3"/>
        <v>5542.1930000000002</v>
      </c>
    </row>
    <row r="20" spans="2:31" x14ac:dyDescent="0.25">
      <c r="B20" s="8" t="s">
        <v>90</v>
      </c>
      <c r="C20" s="25" t="s">
        <v>43</v>
      </c>
      <c r="D20" s="31"/>
      <c r="E20" s="32">
        <v>3018.5</v>
      </c>
      <c r="F20" s="30"/>
      <c r="G20" s="30"/>
      <c r="H20" s="30"/>
      <c r="I20" s="27"/>
      <c r="J20" s="28"/>
      <c r="K20" s="28"/>
      <c r="L20" s="28"/>
      <c r="M20" s="20"/>
      <c r="N20" s="20"/>
      <c r="O20" s="21"/>
      <c r="P20" s="45"/>
      <c r="Q20" s="21"/>
      <c r="R20" s="15">
        <f t="shared" si="1"/>
        <v>3018.5</v>
      </c>
      <c r="S20" s="20"/>
      <c r="T20" s="28"/>
      <c r="U20" s="28"/>
      <c r="V20" s="12"/>
      <c r="W20" s="20">
        <v>176.47039999999998</v>
      </c>
      <c r="X20" s="22"/>
      <c r="Y20" s="23"/>
      <c r="Z20" s="23"/>
      <c r="AA20" s="23"/>
      <c r="AB20" s="23"/>
      <c r="AC20" s="17">
        <f t="shared" si="2"/>
        <v>176.47039999999998</v>
      </c>
      <c r="AD20" s="18">
        <f t="shared" si="3"/>
        <v>2842.0295999999998</v>
      </c>
    </row>
    <row r="21" spans="2:31" x14ac:dyDescent="0.25">
      <c r="B21" s="8" t="s">
        <v>44</v>
      </c>
      <c r="C21" s="25" t="s">
        <v>45</v>
      </c>
      <c r="D21" s="31"/>
      <c r="E21" s="32">
        <f>24876/2</f>
        <v>12438</v>
      </c>
      <c r="F21" s="30"/>
      <c r="G21" s="30"/>
      <c r="H21" s="30"/>
      <c r="I21" s="27"/>
      <c r="J21" s="28"/>
      <c r="K21" s="28"/>
      <c r="L21" s="28"/>
      <c r="M21" s="28"/>
      <c r="N21" s="28"/>
      <c r="O21" s="29"/>
      <c r="P21" s="45"/>
      <c r="Q21" s="29"/>
      <c r="R21" s="15">
        <f t="shared" si="1"/>
        <v>12438</v>
      </c>
      <c r="S21" s="28"/>
      <c r="T21" s="28"/>
      <c r="U21" s="28"/>
      <c r="V21" s="32"/>
      <c r="W21" s="28">
        <v>1936</v>
      </c>
      <c r="X21" s="33"/>
      <c r="Y21" s="34"/>
      <c r="Z21" s="34"/>
      <c r="AA21" s="34"/>
      <c r="AB21" s="34"/>
      <c r="AC21" s="17">
        <f t="shared" si="2"/>
        <v>1936</v>
      </c>
      <c r="AD21" s="18">
        <f t="shared" si="3"/>
        <v>10502</v>
      </c>
    </row>
    <row r="22" spans="2:31" ht="15.75" thickBot="1" x14ac:dyDescent="0.3">
      <c r="B22" s="35" t="s">
        <v>46</v>
      </c>
      <c r="C22" s="36"/>
      <c r="D22" s="37"/>
      <c r="E22" s="38">
        <f>SUM(E4:E21)</f>
        <v>204610.67451253618</v>
      </c>
      <c r="F22" s="38">
        <f t="shared" ref="F22:AD22" si="7">SUM(F4:F21)</f>
        <v>14030</v>
      </c>
      <c r="G22" s="38">
        <f t="shared" si="7"/>
        <v>14630</v>
      </c>
      <c r="H22" s="38">
        <f t="shared" si="7"/>
        <v>14030</v>
      </c>
      <c r="I22" s="38">
        <f t="shared" si="7"/>
        <v>13000</v>
      </c>
      <c r="J22" s="38">
        <f t="shared" si="7"/>
        <v>1870</v>
      </c>
      <c r="K22" s="38">
        <f t="shared" si="7"/>
        <v>4179</v>
      </c>
      <c r="L22" s="38">
        <f t="shared" si="7"/>
        <v>1450</v>
      </c>
      <c r="M22" s="38">
        <f t="shared" si="7"/>
        <v>8309</v>
      </c>
      <c r="N22" s="38">
        <f t="shared" si="7"/>
        <v>1600</v>
      </c>
      <c r="O22" s="38">
        <f t="shared" si="7"/>
        <v>29776.00290250724</v>
      </c>
      <c r="P22" s="38">
        <f t="shared" si="7"/>
        <v>40573.356985250226</v>
      </c>
      <c r="Q22" s="38">
        <f t="shared" si="7"/>
        <v>4860</v>
      </c>
      <c r="R22" s="38">
        <f t="shared" si="7"/>
        <v>352918.03440029372</v>
      </c>
      <c r="S22" s="38">
        <f t="shared" si="7"/>
        <v>845.4644797725</v>
      </c>
      <c r="T22" s="38">
        <f t="shared" si="7"/>
        <v>3500</v>
      </c>
      <c r="U22" s="38">
        <f t="shared" si="7"/>
        <v>7525.194915877536</v>
      </c>
      <c r="V22" s="38">
        <f t="shared" si="7"/>
        <v>12815.895015877537</v>
      </c>
      <c r="W22" s="38">
        <f t="shared" si="7"/>
        <v>44369.402274255277</v>
      </c>
      <c r="X22" s="38">
        <f t="shared" si="7"/>
        <v>0</v>
      </c>
      <c r="Y22" s="38">
        <f t="shared" si="7"/>
        <v>0</v>
      </c>
      <c r="Z22" s="38">
        <f t="shared" si="7"/>
        <v>5673.86</v>
      </c>
      <c r="AA22" s="38">
        <f t="shared" si="7"/>
        <v>1933.28</v>
      </c>
      <c r="AB22" s="38">
        <f t="shared" si="7"/>
        <v>1933.28</v>
      </c>
      <c r="AC22" s="38">
        <f t="shared" si="7"/>
        <v>78596.37668578286</v>
      </c>
      <c r="AD22" s="38">
        <f t="shared" si="7"/>
        <v>274321.6577145108</v>
      </c>
      <c r="AE22" s="19"/>
    </row>
    <row r="23" spans="2:31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2:31" x14ac:dyDescent="0.25">
      <c r="B24" s="42"/>
      <c r="E24" s="40"/>
    </row>
    <row r="25" spans="2:31" x14ac:dyDescent="0.25">
      <c r="B25" t="s">
        <v>87</v>
      </c>
      <c r="C25" t="s">
        <v>91</v>
      </c>
      <c r="E25" s="40"/>
    </row>
    <row r="26" spans="2:31" x14ac:dyDescent="0.25">
      <c r="B26" t="s">
        <v>88</v>
      </c>
      <c r="C26" t="s">
        <v>92</v>
      </c>
      <c r="E26" s="40"/>
    </row>
    <row r="27" spans="2:31" x14ac:dyDescent="0.25">
      <c r="B27" t="s">
        <v>89</v>
      </c>
      <c r="C27" t="s">
        <v>93</v>
      </c>
      <c r="E27" s="40"/>
    </row>
    <row r="28" spans="2:31" x14ac:dyDescent="0.25">
      <c r="B28" t="s">
        <v>90</v>
      </c>
      <c r="C28" t="s">
        <v>94</v>
      </c>
      <c r="E28" s="40"/>
      <c r="R28" s="19"/>
      <c r="AD28" s="19"/>
    </row>
    <row r="29" spans="2:31" x14ac:dyDescent="0.25">
      <c r="B29" t="s">
        <v>44</v>
      </c>
      <c r="C29" t="s">
        <v>95</v>
      </c>
      <c r="R29" s="19"/>
      <c r="AD29" s="19"/>
    </row>
    <row r="30" spans="2:31" x14ac:dyDescent="0.25">
      <c r="R30" s="19"/>
      <c r="AD30" s="19"/>
    </row>
    <row r="31" spans="2:31" x14ac:dyDescent="0.25">
      <c r="R31" s="19"/>
      <c r="AD31" s="19"/>
    </row>
    <row r="32" spans="2:31" x14ac:dyDescent="0.25">
      <c r="R32" s="19"/>
      <c r="AD32" s="19"/>
    </row>
  </sheetData>
  <pageMargins left="0" right="0.70866141732283472" top="0" bottom="0" header="0.31496062992125984" footer="0.31496062992125984"/>
  <pageSetup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workbookViewId="0">
      <selection activeCell="C4" sqref="C4:AA22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10.140625" customWidth="1"/>
    <col min="7" max="7" width="8.85546875" customWidth="1"/>
    <col min="8" max="8" width="9.7109375" customWidth="1"/>
    <col min="9" max="9" width="9" customWidth="1"/>
    <col min="10" max="11" width="8.85546875" customWidth="1"/>
    <col min="12" max="15" width="8.7109375" customWidth="1"/>
    <col min="16" max="16" width="9.5703125" bestFit="1" customWidth="1"/>
    <col min="17" max="18" width="9.28515625" customWidth="1"/>
    <col min="19" max="19" width="12.5703125" bestFit="1" customWidth="1"/>
    <col min="20" max="20" width="7.42578125" customWidth="1"/>
    <col min="21" max="22" width="8.7109375" bestFit="1" customWidth="1"/>
    <col min="23" max="23" width="9" customWidth="1"/>
    <col min="24" max="24" width="9.5703125" customWidth="1"/>
    <col min="25" max="25" width="8.5703125" customWidth="1"/>
    <col min="26" max="27" width="10.140625" customWidth="1"/>
    <col min="28" max="28" width="9.5703125" customWidth="1"/>
    <col min="29" max="29" width="12.5703125" bestFit="1" customWidth="1"/>
  </cols>
  <sheetData>
    <row r="1" spans="2:29" ht="18.75" x14ac:dyDescent="0.25">
      <c r="E1" s="1"/>
      <c r="F1" s="2" t="s">
        <v>77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9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29" ht="48.75" customHeight="1" x14ac:dyDescent="0.25">
      <c r="B3" s="47"/>
      <c r="C3" s="47" t="s">
        <v>1</v>
      </c>
      <c r="D3" s="47" t="s">
        <v>2</v>
      </c>
      <c r="E3" s="47" t="s">
        <v>3</v>
      </c>
      <c r="F3" s="47" t="s">
        <v>4</v>
      </c>
      <c r="G3" s="47" t="s">
        <v>5</v>
      </c>
      <c r="H3" s="47" t="s">
        <v>7</v>
      </c>
      <c r="I3" s="47" t="s">
        <v>8</v>
      </c>
      <c r="J3" s="47" t="s">
        <v>9</v>
      </c>
      <c r="K3" s="47" t="s">
        <v>10</v>
      </c>
      <c r="L3" s="47" t="s">
        <v>11</v>
      </c>
      <c r="M3" s="47" t="s">
        <v>12</v>
      </c>
      <c r="N3" s="47" t="s">
        <v>13</v>
      </c>
      <c r="O3" s="47" t="s">
        <v>73</v>
      </c>
      <c r="P3" s="47" t="s">
        <v>74</v>
      </c>
      <c r="Q3" s="47" t="s">
        <v>75</v>
      </c>
      <c r="R3" s="47" t="s">
        <v>76</v>
      </c>
      <c r="S3" s="48" t="s">
        <v>96</v>
      </c>
      <c r="T3" s="5" t="s">
        <v>15</v>
      </c>
      <c r="U3" s="5" t="s">
        <v>16</v>
      </c>
      <c r="V3" s="5" t="s">
        <v>17</v>
      </c>
      <c r="W3" s="5" t="s">
        <v>18</v>
      </c>
      <c r="X3" s="5" t="s">
        <v>19</v>
      </c>
      <c r="Y3" s="7" t="s">
        <v>22</v>
      </c>
      <c r="Z3" s="49" t="s">
        <v>83</v>
      </c>
      <c r="AA3" s="49" t="s">
        <v>84</v>
      </c>
      <c r="AB3" s="49" t="s">
        <v>85</v>
      </c>
      <c r="AC3" s="50" t="s">
        <v>86</v>
      </c>
    </row>
    <row r="4" spans="2:29" x14ac:dyDescent="0.25">
      <c r="B4" s="8" t="s">
        <v>87</v>
      </c>
      <c r="C4" s="9" t="s">
        <v>23</v>
      </c>
      <c r="D4" s="10">
        <v>17</v>
      </c>
      <c r="E4" s="11">
        <v>19286.689999999999</v>
      </c>
      <c r="F4" s="13">
        <v>200</v>
      </c>
      <c r="G4" s="12"/>
      <c r="H4" s="13"/>
      <c r="I4" s="12"/>
      <c r="J4" s="12"/>
      <c r="K4" s="12"/>
      <c r="L4" s="12"/>
      <c r="M4" s="12"/>
      <c r="N4" s="14"/>
      <c r="O4" s="14"/>
      <c r="P4" s="13">
        <f>(E4/15)*10-Q4</f>
        <v>12079.743333333332</v>
      </c>
      <c r="Q4" s="44">
        <v>778.05</v>
      </c>
      <c r="R4" s="14"/>
      <c r="S4" s="15">
        <f t="shared" ref="S4:S22" si="0">SUM(E4:R4)</f>
        <v>32344.48333333333</v>
      </c>
      <c r="T4" s="12"/>
      <c r="U4" s="12"/>
      <c r="V4" s="12"/>
      <c r="W4" s="12">
        <f t="shared" ref="W4:W19" si="1">(E4*0.07)</f>
        <v>1350.0683000000001</v>
      </c>
      <c r="X4" s="12">
        <v>4861.4619999999986</v>
      </c>
      <c r="Y4" s="17"/>
      <c r="Z4" s="17"/>
      <c r="AA4" s="17"/>
      <c r="AB4" s="17">
        <f t="shared" ref="AB4:AB22" si="2">SUM(T4:AA4)</f>
        <v>6211.5302999999985</v>
      </c>
      <c r="AC4" s="18">
        <f t="shared" ref="AC4:AC22" si="3">+S4-AB4</f>
        <v>26132.953033333331</v>
      </c>
    </row>
    <row r="5" spans="2:29" x14ac:dyDescent="0.25">
      <c r="B5" s="8" t="s">
        <v>87</v>
      </c>
      <c r="C5" s="9" t="s">
        <v>24</v>
      </c>
      <c r="D5" s="10">
        <v>14</v>
      </c>
      <c r="E5" s="11">
        <f>(14917.51/15)*6</f>
        <v>5967.0039999999999</v>
      </c>
      <c r="F5" s="13">
        <f>(200/30)*21</f>
        <v>140</v>
      </c>
      <c r="G5" s="20"/>
      <c r="H5" s="13"/>
      <c r="I5" s="20"/>
      <c r="J5" s="20"/>
      <c r="K5" s="20"/>
      <c r="L5" s="20"/>
      <c r="M5" s="20"/>
      <c r="N5" s="21"/>
      <c r="O5" s="21"/>
      <c r="P5" s="13">
        <f>(14917.51/15)*7.27-Q5</f>
        <v>6451.9698466666659</v>
      </c>
      <c r="Q5" s="44">
        <v>778.05</v>
      </c>
      <c r="R5" s="21"/>
      <c r="S5" s="15">
        <f t="shared" si="0"/>
        <v>13337.023846666665</v>
      </c>
      <c r="T5" s="20"/>
      <c r="U5" s="20"/>
      <c r="V5" s="20"/>
      <c r="W5" s="12">
        <f t="shared" si="1"/>
        <v>417.69028000000003</v>
      </c>
      <c r="X5" s="20">
        <v>3438.800056</v>
      </c>
      <c r="Y5" s="23"/>
      <c r="Z5" s="23"/>
      <c r="AA5" s="23"/>
      <c r="AB5" s="17">
        <f t="shared" si="2"/>
        <v>3856.4903359999998</v>
      </c>
      <c r="AC5" s="18">
        <f t="shared" si="3"/>
        <v>9480.5335106666644</v>
      </c>
    </row>
    <row r="6" spans="2:29" x14ac:dyDescent="0.25">
      <c r="B6" s="8" t="s">
        <v>87</v>
      </c>
      <c r="C6" s="9" t="s">
        <v>25</v>
      </c>
      <c r="D6" s="10">
        <v>14</v>
      </c>
      <c r="E6" s="11">
        <v>14917.51</v>
      </c>
      <c r="F6" s="13">
        <v>200</v>
      </c>
      <c r="G6" s="20"/>
      <c r="H6" s="13"/>
      <c r="I6" s="20"/>
      <c r="J6" s="20"/>
      <c r="K6" s="20"/>
      <c r="L6" s="20"/>
      <c r="M6" s="20"/>
      <c r="N6" s="21"/>
      <c r="O6" s="21"/>
      <c r="P6" s="13">
        <f t="shared" ref="P6:P21" si="4">(E6/15)*10-Q6</f>
        <v>9166.9566666666669</v>
      </c>
      <c r="Q6" s="44">
        <v>778.05</v>
      </c>
      <c r="R6" s="21"/>
      <c r="S6" s="15">
        <f t="shared" si="0"/>
        <v>25062.516666666666</v>
      </c>
      <c r="T6" s="20"/>
      <c r="U6" s="20"/>
      <c r="V6" s="20"/>
      <c r="W6" s="12">
        <f t="shared" si="1"/>
        <v>1044.2257000000002</v>
      </c>
      <c r="X6" s="20">
        <v>3438.800056</v>
      </c>
      <c r="Y6" s="23"/>
      <c r="Z6" s="23"/>
      <c r="AA6" s="23"/>
      <c r="AB6" s="17">
        <f t="shared" si="2"/>
        <v>4483.025756</v>
      </c>
      <c r="AC6" s="18">
        <f t="shared" si="3"/>
        <v>20579.490910666667</v>
      </c>
    </row>
    <row r="7" spans="2:29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13">
        <v>900</v>
      </c>
      <c r="G7" s="13">
        <v>900</v>
      </c>
      <c r="H7" s="13">
        <v>900</v>
      </c>
      <c r="I7" s="13">
        <v>3000</v>
      </c>
      <c r="J7" s="20">
        <v>3341.8</v>
      </c>
      <c r="K7" s="20">
        <v>733</v>
      </c>
      <c r="L7" s="13"/>
      <c r="M7" s="20"/>
      <c r="N7" s="21">
        <f t="shared" ref="N7:N13" si="5">(E7/15)*2</f>
        <v>2002.9466666666667</v>
      </c>
      <c r="O7" s="21"/>
      <c r="P7" s="13">
        <f t="shared" si="4"/>
        <v>9236.6833333333343</v>
      </c>
      <c r="Q7" s="44">
        <v>778.05</v>
      </c>
      <c r="R7" s="21"/>
      <c r="S7" s="15">
        <f t="shared" si="0"/>
        <v>36814.58</v>
      </c>
      <c r="T7" s="20"/>
      <c r="U7" s="20"/>
      <c r="V7" s="20"/>
      <c r="W7" s="12">
        <f t="shared" si="1"/>
        <v>1051.547</v>
      </c>
      <c r="X7" s="20">
        <v>4515.6224880000009</v>
      </c>
      <c r="Y7" s="23"/>
      <c r="Z7" s="23"/>
      <c r="AA7" s="23"/>
      <c r="AB7" s="17">
        <f t="shared" si="2"/>
        <v>5567.1694880000014</v>
      </c>
      <c r="AC7" s="18">
        <f t="shared" si="3"/>
        <v>31247.410512000002</v>
      </c>
    </row>
    <row r="8" spans="2:29" ht="15" customHeight="1" x14ac:dyDescent="0.25">
      <c r="B8" s="8" t="s">
        <v>88</v>
      </c>
      <c r="C8" s="9" t="s">
        <v>28</v>
      </c>
      <c r="D8" s="10">
        <v>13</v>
      </c>
      <c r="E8" s="11">
        <v>15022.1</v>
      </c>
      <c r="F8" s="13">
        <v>900</v>
      </c>
      <c r="G8" s="13">
        <v>900</v>
      </c>
      <c r="H8" s="13">
        <v>900</v>
      </c>
      <c r="I8" s="13">
        <v>3000</v>
      </c>
      <c r="J8" s="20">
        <v>3341.8</v>
      </c>
      <c r="K8" s="20">
        <v>733</v>
      </c>
      <c r="L8" s="13"/>
      <c r="M8" s="20"/>
      <c r="N8" s="21"/>
      <c r="O8" s="21"/>
      <c r="P8" s="13">
        <f t="shared" si="4"/>
        <v>9236.6833333333343</v>
      </c>
      <c r="Q8" s="44">
        <v>778.05</v>
      </c>
      <c r="R8" s="21"/>
      <c r="S8" s="15">
        <f t="shared" si="0"/>
        <v>34811.633333333331</v>
      </c>
      <c r="T8" s="20"/>
      <c r="U8" s="20"/>
      <c r="V8" s="20"/>
      <c r="W8" s="12">
        <f t="shared" si="1"/>
        <v>1051.547</v>
      </c>
      <c r="X8" s="20">
        <v>4280.0759600000001</v>
      </c>
      <c r="Y8" s="23"/>
      <c r="Z8" s="23"/>
      <c r="AA8" s="23"/>
      <c r="AB8" s="17">
        <f t="shared" si="2"/>
        <v>5331.6229600000006</v>
      </c>
      <c r="AC8" s="18">
        <f t="shared" si="3"/>
        <v>29480.010373333331</v>
      </c>
    </row>
    <row r="9" spans="2:29" ht="15" customHeight="1" x14ac:dyDescent="0.25">
      <c r="B9" s="8" t="s">
        <v>88</v>
      </c>
      <c r="C9" s="9" t="s">
        <v>29</v>
      </c>
      <c r="D9" s="10">
        <v>9</v>
      </c>
      <c r="E9" s="11">
        <v>11333.03</v>
      </c>
      <c r="F9" s="13">
        <v>900</v>
      </c>
      <c r="G9" s="13">
        <v>900</v>
      </c>
      <c r="H9" s="13">
        <v>900</v>
      </c>
      <c r="I9" s="13">
        <v>1050</v>
      </c>
      <c r="J9" s="20">
        <v>1803.2</v>
      </c>
      <c r="K9" s="20">
        <v>675</v>
      </c>
      <c r="L9" s="13"/>
      <c r="M9" s="20"/>
      <c r="N9" s="21">
        <f t="shared" si="5"/>
        <v>1511.0706666666667</v>
      </c>
      <c r="O9" s="21"/>
      <c r="P9" s="13">
        <f t="shared" si="4"/>
        <v>6777.3033333333333</v>
      </c>
      <c r="Q9" s="44">
        <v>778.05</v>
      </c>
      <c r="R9" s="21"/>
      <c r="S9" s="15">
        <f t="shared" si="0"/>
        <v>26627.653999999999</v>
      </c>
      <c r="T9" s="20"/>
      <c r="U9" s="20"/>
      <c r="V9" s="20"/>
      <c r="W9" s="12">
        <f t="shared" si="1"/>
        <v>793.3121000000001</v>
      </c>
      <c r="X9" s="20">
        <v>2883.8053584000004</v>
      </c>
      <c r="Y9" s="23">
        <v>2938.2</v>
      </c>
      <c r="Z9" s="23"/>
      <c r="AA9" s="23"/>
      <c r="AB9" s="17">
        <f t="shared" si="2"/>
        <v>6615.3174584000008</v>
      </c>
      <c r="AC9" s="18">
        <f t="shared" si="3"/>
        <v>20012.336541599998</v>
      </c>
    </row>
    <row r="10" spans="2:29" ht="15" customHeight="1" x14ac:dyDescent="0.25">
      <c r="B10" s="8" t="s">
        <v>89</v>
      </c>
      <c r="C10" s="9" t="s">
        <v>30</v>
      </c>
      <c r="D10" s="10">
        <v>10</v>
      </c>
      <c r="E10" s="11">
        <v>15424.35954953621</v>
      </c>
      <c r="F10" s="13">
        <v>1100</v>
      </c>
      <c r="G10" s="13">
        <v>1133</v>
      </c>
      <c r="H10" s="13">
        <v>1140</v>
      </c>
      <c r="I10" s="13">
        <v>1150</v>
      </c>
      <c r="J10" s="20">
        <v>1934.8</v>
      </c>
      <c r="K10" s="20">
        <v>787</v>
      </c>
      <c r="L10" s="13"/>
      <c r="M10" s="20">
        <v>945</v>
      </c>
      <c r="N10" s="21">
        <f t="shared" si="5"/>
        <v>2056.5812732714944</v>
      </c>
      <c r="O10" s="21">
        <f>(E10/15)*4</f>
        <v>4113.1625465429888</v>
      </c>
      <c r="P10" s="13">
        <f t="shared" si="4"/>
        <v>9504.8563663574732</v>
      </c>
      <c r="Q10" s="44">
        <v>778.05</v>
      </c>
      <c r="R10" s="21">
        <v>5850</v>
      </c>
      <c r="S10" s="15">
        <f t="shared" si="0"/>
        <v>45916.809735708172</v>
      </c>
      <c r="T10" s="20"/>
      <c r="U10" s="20"/>
      <c r="V10" s="20">
        <f t="shared" ref="V10:V19" si="6">(E10*0.07)</f>
        <v>1079.7051684675348</v>
      </c>
      <c r="W10" s="12">
        <f t="shared" si="1"/>
        <v>1079.7051684675348</v>
      </c>
      <c r="X10" s="20">
        <v>5812.011392786656</v>
      </c>
      <c r="Y10" s="23"/>
      <c r="Z10" s="23"/>
      <c r="AA10" s="23"/>
      <c r="AB10" s="17">
        <f t="shared" si="2"/>
        <v>7971.4217297217256</v>
      </c>
      <c r="AC10" s="18">
        <f t="shared" si="3"/>
        <v>37945.388005986446</v>
      </c>
    </row>
    <row r="11" spans="2:29" ht="15" customHeight="1" x14ac:dyDescent="0.25">
      <c r="B11" s="8" t="s">
        <v>89</v>
      </c>
      <c r="C11" s="9" t="s">
        <v>31</v>
      </c>
      <c r="D11" s="10">
        <v>8</v>
      </c>
      <c r="E11" s="11">
        <v>13360.854858749999</v>
      </c>
      <c r="F11" s="13">
        <v>1100</v>
      </c>
      <c r="G11" s="13">
        <v>1133</v>
      </c>
      <c r="H11" s="13">
        <v>1140</v>
      </c>
      <c r="I11" s="13">
        <v>1000</v>
      </c>
      <c r="J11" s="12">
        <v>1677.2</v>
      </c>
      <c r="K11" s="12">
        <f>662+100</f>
        <v>762</v>
      </c>
      <c r="L11" s="13">
        <v>325</v>
      </c>
      <c r="M11" s="13">
        <v>838</v>
      </c>
      <c r="N11" s="21">
        <f t="shared" si="5"/>
        <v>1781.4473144999999</v>
      </c>
      <c r="O11" s="21">
        <f t="shared" ref="O11:O19" si="7">(E11/15)*4</f>
        <v>3562.8946289999999</v>
      </c>
      <c r="P11" s="13">
        <f t="shared" si="4"/>
        <v>8129.1865724999998</v>
      </c>
      <c r="Q11" s="44">
        <v>778.05</v>
      </c>
      <c r="R11" s="21"/>
      <c r="S11" s="15">
        <f t="shared" si="0"/>
        <v>35587.633374750003</v>
      </c>
      <c r="T11" s="20">
        <f t="shared" ref="T11:T18" si="8">(E11*0.01)</f>
        <v>133.6085485875</v>
      </c>
      <c r="U11" s="20">
        <f>1000</f>
        <v>1000</v>
      </c>
      <c r="V11" s="20">
        <f t="shared" si="6"/>
        <v>935.2598401125</v>
      </c>
      <c r="W11" s="12">
        <f t="shared" si="1"/>
        <v>935.2598401125</v>
      </c>
      <c r="X11" s="20">
        <v>4135.0463362596001</v>
      </c>
      <c r="Y11" s="23"/>
      <c r="Z11" s="23">
        <f>966.64</f>
        <v>966.64</v>
      </c>
      <c r="AA11" s="23"/>
      <c r="AB11" s="17">
        <f t="shared" si="2"/>
        <v>8105.8145650721008</v>
      </c>
      <c r="AC11" s="18">
        <f t="shared" si="3"/>
        <v>27481.818809677901</v>
      </c>
    </row>
    <row r="12" spans="2:29" ht="22.5" x14ac:dyDescent="0.25">
      <c r="B12" s="8" t="s">
        <v>89</v>
      </c>
      <c r="C12" s="25" t="s">
        <v>32</v>
      </c>
      <c r="D12" s="26">
        <v>7</v>
      </c>
      <c r="E12" s="11">
        <v>12482.481170250001</v>
      </c>
      <c r="F12" s="13">
        <v>1100</v>
      </c>
      <c r="G12" s="13">
        <v>1133</v>
      </c>
      <c r="H12" s="13">
        <v>1140</v>
      </c>
      <c r="I12" s="13"/>
      <c r="J12" s="12">
        <v>1565.2</v>
      </c>
      <c r="K12" s="12">
        <f>651+100</f>
        <v>751</v>
      </c>
      <c r="L12" s="20">
        <v>325</v>
      </c>
      <c r="M12" s="20">
        <v>793</v>
      </c>
      <c r="N12" s="21"/>
      <c r="O12" s="21">
        <f t="shared" si="7"/>
        <v>3328.6616454000005</v>
      </c>
      <c r="P12" s="13">
        <f t="shared" si="4"/>
        <v>7543.6041135000005</v>
      </c>
      <c r="Q12" s="44">
        <v>778.05</v>
      </c>
      <c r="R12" s="21"/>
      <c r="S12" s="15">
        <f t="shared" si="0"/>
        <v>30939.996929150002</v>
      </c>
      <c r="T12" s="20">
        <f t="shared" si="8"/>
        <v>124.82481170250001</v>
      </c>
      <c r="U12" s="20"/>
      <c r="V12" s="20">
        <f t="shared" si="6"/>
        <v>873.7736819175002</v>
      </c>
      <c r="W12" s="12">
        <f t="shared" si="1"/>
        <v>873.7736819175002</v>
      </c>
      <c r="X12" s="20">
        <v>3485.1875444894399</v>
      </c>
      <c r="Y12" s="22"/>
      <c r="Z12" s="22"/>
      <c r="AA12" s="22"/>
      <c r="AB12" s="17">
        <f t="shared" si="2"/>
        <v>5357.5597200269403</v>
      </c>
      <c r="AC12" s="18">
        <f t="shared" si="3"/>
        <v>25582.437209123062</v>
      </c>
    </row>
    <row r="13" spans="2:29" x14ac:dyDescent="0.25">
      <c r="B13" s="8" t="s">
        <v>89</v>
      </c>
      <c r="C13" s="25" t="s">
        <v>33</v>
      </c>
      <c r="D13" s="26">
        <v>7</v>
      </c>
      <c r="E13" s="11">
        <v>12482.481170250001</v>
      </c>
      <c r="F13" s="13">
        <v>1100</v>
      </c>
      <c r="G13" s="13">
        <v>1133</v>
      </c>
      <c r="H13" s="13">
        <v>1140</v>
      </c>
      <c r="I13" s="13"/>
      <c r="J13" s="12">
        <v>1565.2</v>
      </c>
      <c r="K13" s="12">
        <f>651+100</f>
        <v>751</v>
      </c>
      <c r="L13" s="20"/>
      <c r="M13" s="20">
        <v>793</v>
      </c>
      <c r="N13" s="21">
        <f t="shared" si="5"/>
        <v>1664.3308227000002</v>
      </c>
      <c r="O13" s="21">
        <f t="shared" si="7"/>
        <v>3328.6616454000005</v>
      </c>
      <c r="P13" s="13">
        <f t="shared" si="4"/>
        <v>7543.6041135000005</v>
      </c>
      <c r="Q13" s="44">
        <v>778.05</v>
      </c>
      <c r="R13" s="21"/>
      <c r="S13" s="15">
        <f t="shared" si="0"/>
        <v>32279.327751850004</v>
      </c>
      <c r="T13" s="20">
        <f t="shared" si="8"/>
        <v>124.82481170250001</v>
      </c>
      <c r="U13" s="20"/>
      <c r="V13" s="20">
        <f t="shared" si="6"/>
        <v>873.7736819175002</v>
      </c>
      <c r="W13" s="12">
        <f t="shared" si="1"/>
        <v>873.7736819175002</v>
      </c>
      <c r="X13" s="20">
        <v>3604.4728492389604</v>
      </c>
      <c r="Y13" s="22"/>
      <c r="Z13" s="22"/>
      <c r="AA13" s="22"/>
      <c r="AB13" s="17">
        <f t="shared" si="2"/>
        <v>5476.8450247764613</v>
      </c>
      <c r="AC13" s="18">
        <f t="shared" si="3"/>
        <v>26802.48272707354</v>
      </c>
    </row>
    <row r="14" spans="2:29" x14ac:dyDescent="0.25">
      <c r="B14" s="8" t="s">
        <v>89</v>
      </c>
      <c r="C14" s="9" t="s">
        <v>35</v>
      </c>
      <c r="D14" s="10">
        <v>5</v>
      </c>
      <c r="E14" s="11">
        <v>10948.878517500001</v>
      </c>
      <c r="F14" s="13">
        <v>1100</v>
      </c>
      <c r="G14" s="13">
        <v>1133</v>
      </c>
      <c r="H14" s="13">
        <v>1140</v>
      </c>
      <c r="I14" s="13"/>
      <c r="J14" s="13">
        <v>1241.8</v>
      </c>
      <c r="K14" s="13">
        <f>632+100</f>
        <v>732</v>
      </c>
      <c r="L14" s="13">
        <v>150</v>
      </c>
      <c r="M14" s="20">
        <v>713</v>
      </c>
      <c r="N14" s="21">
        <f t="shared" ref="N14:N19" si="9">(E14/15)*2</f>
        <v>1459.8504690000002</v>
      </c>
      <c r="O14" s="21">
        <f t="shared" si="7"/>
        <v>2919.7009380000004</v>
      </c>
      <c r="P14" s="13">
        <f t="shared" si="4"/>
        <v>6521.2023450000006</v>
      </c>
      <c r="Q14" s="44">
        <v>778.05</v>
      </c>
      <c r="R14" s="21">
        <v>5850</v>
      </c>
      <c r="S14" s="15">
        <f t="shared" si="0"/>
        <v>34687.482269500004</v>
      </c>
      <c r="T14" s="20">
        <f t="shared" si="8"/>
        <v>109.48878517500002</v>
      </c>
      <c r="U14" s="20">
        <f>500</f>
        <v>500</v>
      </c>
      <c r="V14" s="20">
        <f t="shared" si="6"/>
        <v>766.42149622500017</v>
      </c>
      <c r="W14" s="12">
        <f t="shared" si="1"/>
        <v>766.42149622500017</v>
      </c>
      <c r="X14" s="20">
        <v>3724.9601485512003</v>
      </c>
      <c r="Y14" s="23"/>
      <c r="Z14" s="23"/>
      <c r="AA14" s="23"/>
      <c r="AB14" s="17">
        <f t="shared" si="2"/>
        <v>5867.2919261762008</v>
      </c>
      <c r="AC14" s="18">
        <f t="shared" si="3"/>
        <v>28820.190343323804</v>
      </c>
    </row>
    <row r="15" spans="2:29" x14ac:dyDescent="0.25">
      <c r="B15" s="8" t="s">
        <v>89</v>
      </c>
      <c r="C15" s="9" t="s">
        <v>36</v>
      </c>
      <c r="D15" s="10">
        <v>4</v>
      </c>
      <c r="E15" s="11">
        <v>9610.9981694999988</v>
      </c>
      <c r="F15" s="13">
        <v>1100</v>
      </c>
      <c r="G15" s="13">
        <v>1133</v>
      </c>
      <c r="H15" s="13">
        <v>1140</v>
      </c>
      <c r="I15" s="13"/>
      <c r="J15" s="13">
        <v>845.6</v>
      </c>
      <c r="K15" s="13">
        <f>615+100</f>
        <v>715</v>
      </c>
      <c r="L15" s="13">
        <v>150</v>
      </c>
      <c r="M15" s="20">
        <v>644</v>
      </c>
      <c r="N15" s="21">
        <f t="shared" si="9"/>
        <v>1281.4664225999998</v>
      </c>
      <c r="O15" s="21">
        <f t="shared" si="7"/>
        <v>2562.9328451999995</v>
      </c>
      <c r="P15" s="13">
        <f t="shared" si="4"/>
        <v>5629.2821129999984</v>
      </c>
      <c r="Q15" s="44">
        <v>778.05</v>
      </c>
      <c r="R15" s="21"/>
      <c r="S15" s="15">
        <f t="shared" si="0"/>
        <v>25590.329550299997</v>
      </c>
      <c r="T15" s="20">
        <f t="shared" si="8"/>
        <v>96.109981694999988</v>
      </c>
      <c r="U15" s="20"/>
      <c r="V15" s="20">
        <f t="shared" si="6"/>
        <v>672.76987186500003</v>
      </c>
      <c r="W15" s="12">
        <f t="shared" si="1"/>
        <v>672.76987186500003</v>
      </c>
      <c r="X15" s="20">
        <v>2498.1911644746397</v>
      </c>
      <c r="Y15" s="23"/>
      <c r="Z15" s="23"/>
      <c r="AA15" s="23"/>
      <c r="AB15" s="17">
        <f t="shared" si="2"/>
        <v>3939.8408898996395</v>
      </c>
      <c r="AC15" s="18">
        <f t="shared" si="3"/>
        <v>21650.488660400359</v>
      </c>
    </row>
    <row r="16" spans="2:29" x14ac:dyDescent="0.25">
      <c r="B16" s="8" t="s">
        <v>89</v>
      </c>
      <c r="C16" s="9" t="s">
        <v>37</v>
      </c>
      <c r="D16" s="10">
        <v>4</v>
      </c>
      <c r="E16" s="11">
        <v>9610.9981694999988</v>
      </c>
      <c r="F16" s="13">
        <v>1100</v>
      </c>
      <c r="G16" s="13">
        <v>1133</v>
      </c>
      <c r="H16" s="13">
        <v>1140</v>
      </c>
      <c r="I16" s="13"/>
      <c r="J16" s="13">
        <v>845.6</v>
      </c>
      <c r="K16" s="13">
        <f>615+100</f>
        <v>715</v>
      </c>
      <c r="L16" s="13">
        <v>150</v>
      </c>
      <c r="M16" s="20">
        <v>644</v>
      </c>
      <c r="N16" s="21">
        <f t="shared" si="9"/>
        <v>1281.4664225999998</v>
      </c>
      <c r="O16" s="21">
        <f t="shared" si="7"/>
        <v>2562.9328451999995</v>
      </c>
      <c r="P16" s="13">
        <f t="shared" si="4"/>
        <v>5629.2821129999984</v>
      </c>
      <c r="Q16" s="44">
        <v>778.05</v>
      </c>
      <c r="R16" s="21"/>
      <c r="S16" s="15">
        <f t="shared" si="0"/>
        <v>25590.329550299997</v>
      </c>
      <c r="T16" s="20">
        <f t="shared" si="8"/>
        <v>96.109981694999988</v>
      </c>
      <c r="U16" s="20">
        <f>500</f>
        <v>500</v>
      </c>
      <c r="V16" s="20">
        <f t="shared" si="6"/>
        <v>672.76987186500003</v>
      </c>
      <c r="W16" s="12">
        <f t="shared" si="1"/>
        <v>672.76987186500003</v>
      </c>
      <c r="X16" s="20">
        <v>2498.1911644746397</v>
      </c>
      <c r="Y16" s="23"/>
      <c r="Z16" s="23"/>
      <c r="AA16" s="23"/>
      <c r="AB16" s="17">
        <f t="shared" si="2"/>
        <v>4439.8408898996395</v>
      </c>
      <c r="AC16" s="18">
        <f t="shared" si="3"/>
        <v>21150.488660400359</v>
      </c>
    </row>
    <row r="17" spans="2:29" x14ac:dyDescent="0.25">
      <c r="B17" s="8" t="s">
        <v>89</v>
      </c>
      <c r="C17" s="9" t="s">
        <v>38</v>
      </c>
      <c r="D17" s="10">
        <v>2</v>
      </c>
      <c r="E17" s="11">
        <v>8024.8779607499991</v>
      </c>
      <c r="F17" s="13">
        <v>1100</v>
      </c>
      <c r="G17" s="13">
        <v>1133</v>
      </c>
      <c r="H17" s="13">
        <v>1140</v>
      </c>
      <c r="I17" s="13"/>
      <c r="J17" s="13">
        <v>704.2</v>
      </c>
      <c r="K17" s="13">
        <f>595+100</f>
        <v>695</v>
      </c>
      <c r="L17" s="13">
        <v>150</v>
      </c>
      <c r="M17" s="20">
        <v>561</v>
      </c>
      <c r="N17" s="21">
        <f t="shared" si="9"/>
        <v>1069.9837280999998</v>
      </c>
      <c r="O17" s="21">
        <f t="shared" si="7"/>
        <v>2139.9674561999996</v>
      </c>
      <c r="P17" s="13">
        <f t="shared" si="4"/>
        <v>4571.8686404999989</v>
      </c>
      <c r="Q17" s="44">
        <v>778.05</v>
      </c>
      <c r="R17" s="21">
        <v>5850</v>
      </c>
      <c r="S17" s="15">
        <f t="shared" si="0"/>
        <v>27917.947785549997</v>
      </c>
      <c r="T17" s="20">
        <f t="shared" si="8"/>
        <v>80.248779607499998</v>
      </c>
      <c r="U17" s="20">
        <f>1000</f>
        <v>1000</v>
      </c>
      <c r="V17" s="20">
        <f t="shared" si="6"/>
        <v>561.74145725250003</v>
      </c>
      <c r="W17" s="12">
        <f t="shared" si="1"/>
        <v>561.74145725250003</v>
      </c>
      <c r="X17" s="20">
        <v>2585.0004277648791</v>
      </c>
      <c r="Y17" s="23"/>
      <c r="Z17" s="23"/>
      <c r="AA17" s="23"/>
      <c r="AB17" s="17">
        <f t="shared" si="2"/>
        <v>4788.7321218773795</v>
      </c>
      <c r="AC17" s="18">
        <f t="shared" si="3"/>
        <v>23129.215663672618</v>
      </c>
    </row>
    <row r="18" spans="2:29" x14ac:dyDescent="0.25">
      <c r="B18" s="8" t="s">
        <v>89</v>
      </c>
      <c r="C18" s="9" t="s">
        <v>39</v>
      </c>
      <c r="D18" s="10">
        <v>2</v>
      </c>
      <c r="E18" s="11">
        <v>8024.8779607499991</v>
      </c>
      <c r="F18" s="13">
        <v>1100</v>
      </c>
      <c r="G18" s="13">
        <v>1133</v>
      </c>
      <c r="H18" s="13">
        <v>1140</v>
      </c>
      <c r="I18" s="13"/>
      <c r="J18" s="13">
        <v>704.2</v>
      </c>
      <c r="K18" s="13">
        <f>595+100</f>
        <v>695</v>
      </c>
      <c r="L18" s="13">
        <v>150</v>
      </c>
      <c r="M18" s="20">
        <v>561</v>
      </c>
      <c r="N18" s="21">
        <f t="shared" si="9"/>
        <v>1069.9837280999998</v>
      </c>
      <c r="O18" s="21">
        <f t="shared" si="7"/>
        <v>2139.9674561999996</v>
      </c>
      <c r="P18" s="13">
        <f t="shared" si="4"/>
        <v>4571.8686404999989</v>
      </c>
      <c r="Q18" s="44">
        <v>778.05</v>
      </c>
      <c r="R18" s="21"/>
      <c r="S18" s="15">
        <f t="shared" si="0"/>
        <v>22067.947785549997</v>
      </c>
      <c r="T18" s="20">
        <f t="shared" si="8"/>
        <v>80.248779607499998</v>
      </c>
      <c r="U18" s="20">
        <f>500</f>
        <v>500</v>
      </c>
      <c r="V18" s="20">
        <f t="shared" si="6"/>
        <v>561.74145725250003</v>
      </c>
      <c r="W18" s="12">
        <f t="shared" si="1"/>
        <v>561.74145725250003</v>
      </c>
      <c r="X18" s="20">
        <v>1952.6031537048398</v>
      </c>
      <c r="Y18" s="23"/>
      <c r="Z18" s="23">
        <f>966.64</f>
        <v>966.64</v>
      </c>
      <c r="AA18" s="23">
        <f>1933.28</f>
        <v>1933.28</v>
      </c>
      <c r="AB18" s="17">
        <f t="shared" si="2"/>
        <v>6556.2548478173394</v>
      </c>
      <c r="AC18" s="18">
        <f t="shared" si="3"/>
        <v>15511.692937732658</v>
      </c>
    </row>
    <row r="19" spans="2:29" ht="22.5" x14ac:dyDescent="0.25">
      <c r="B19" s="8" t="s">
        <v>89</v>
      </c>
      <c r="C19" s="9" t="s">
        <v>41</v>
      </c>
      <c r="D19" s="10">
        <v>1</v>
      </c>
      <c r="E19" s="11">
        <v>7531.9769857499987</v>
      </c>
      <c r="F19" s="13">
        <v>1100</v>
      </c>
      <c r="G19" s="13">
        <v>1133</v>
      </c>
      <c r="H19" s="13">
        <v>1140</v>
      </c>
      <c r="I19" s="13"/>
      <c r="J19" s="13">
        <v>658</v>
      </c>
      <c r="K19" s="13">
        <f>589+100</f>
        <v>689</v>
      </c>
      <c r="L19" s="13">
        <v>150</v>
      </c>
      <c r="M19" s="20">
        <v>536</v>
      </c>
      <c r="N19" s="21">
        <f t="shared" si="9"/>
        <v>1004.2635980999999</v>
      </c>
      <c r="O19" s="21">
        <f t="shared" si="7"/>
        <v>2008.5271961999997</v>
      </c>
      <c r="P19" s="13">
        <f t="shared" si="4"/>
        <v>4243.2679904999995</v>
      </c>
      <c r="Q19" s="44">
        <v>778.05</v>
      </c>
      <c r="R19" s="21"/>
      <c r="S19" s="15">
        <f t="shared" si="0"/>
        <v>20972.085770549998</v>
      </c>
      <c r="T19" s="20"/>
      <c r="U19" s="20"/>
      <c r="V19" s="20">
        <f t="shared" si="6"/>
        <v>527.23838900249996</v>
      </c>
      <c r="W19" s="12">
        <f t="shared" si="1"/>
        <v>527.23838900249996</v>
      </c>
      <c r="X19" s="20">
        <v>1782.9232663728399</v>
      </c>
      <c r="Y19" s="23">
        <v>2735.66</v>
      </c>
      <c r="Z19" s="23"/>
      <c r="AA19" s="23"/>
      <c r="AB19" s="17">
        <f t="shared" si="2"/>
        <v>5573.0600443778394</v>
      </c>
      <c r="AC19" s="18">
        <f t="shared" si="3"/>
        <v>15399.02572617216</v>
      </c>
    </row>
    <row r="20" spans="2:29" ht="22.5" x14ac:dyDescent="0.25">
      <c r="B20" s="8" t="s">
        <v>90</v>
      </c>
      <c r="C20" s="9" t="s">
        <v>42</v>
      </c>
      <c r="D20" s="10"/>
      <c r="E20" s="11">
        <v>6069.96</v>
      </c>
      <c r="F20" s="27"/>
      <c r="G20" s="27"/>
      <c r="H20" s="27"/>
      <c r="I20" s="27"/>
      <c r="J20" s="28"/>
      <c r="K20" s="28"/>
      <c r="L20" s="27"/>
      <c r="M20" s="28"/>
      <c r="N20" s="29"/>
      <c r="O20" s="29"/>
      <c r="P20" s="13">
        <f t="shared" si="4"/>
        <v>3268.59</v>
      </c>
      <c r="Q20" s="44">
        <v>778.05</v>
      </c>
      <c r="R20" s="21"/>
      <c r="S20" s="15">
        <f t="shared" si="0"/>
        <v>10116.599999999999</v>
      </c>
      <c r="T20" s="20"/>
      <c r="U20" s="28"/>
      <c r="V20" s="28"/>
      <c r="W20" s="12"/>
      <c r="X20" s="20">
        <v>812.99212800000009</v>
      </c>
      <c r="Y20" s="23"/>
      <c r="Z20" s="23"/>
      <c r="AA20" s="23"/>
      <c r="AB20" s="17">
        <f t="shared" si="2"/>
        <v>812.99212800000009</v>
      </c>
      <c r="AC20" s="18">
        <f t="shared" si="3"/>
        <v>9303.6078719999987</v>
      </c>
    </row>
    <row r="21" spans="2:29" x14ac:dyDescent="0.25">
      <c r="B21" s="8" t="s">
        <v>90</v>
      </c>
      <c r="C21" s="25" t="s">
        <v>43</v>
      </c>
      <c r="D21" s="31"/>
      <c r="E21" s="32">
        <v>3018.5</v>
      </c>
      <c r="F21" s="27"/>
      <c r="G21" s="27"/>
      <c r="H21" s="27"/>
      <c r="I21" s="27"/>
      <c r="J21" s="28"/>
      <c r="K21" s="28"/>
      <c r="L21" s="27"/>
      <c r="M21" s="28"/>
      <c r="N21" s="28"/>
      <c r="O21" s="28"/>
      <c r="P21" s="13">
        <f t="shared" si="4"/>
        <v>1234.2833333333333</v>
      </c>
      <c r="Q21" s="44">
        <v>778.05</v>
      </c>
      <c r="R21" s="21"/>
      <c r="S21" s="15">
        <f t="shared" si="0"/>
        <v>5030.833333333333</v>
      </c>
      <c r="T21" s="20"/>
      <c r="U21" s="28"/>
      <c r="V21" s="28"/>
      <c r="W21" s="12"/>
      <c r="X21" s="20">
        <v>237.00874933333327</v>
      </c>
      <c r="Y21" s="23"/>
      <c r="Z21" s="23"/>
      <c r="AA21" s="23"/>
      <c r="AB21" s="17">
        <f t="shared" si="2"/>
        <v>237.00874933333327</v>
      </c>
      <c r="AC21" s="18">
        <f t="shared" si="3"/>
        <v>4793.824584</v>
      </c>
    </row>
    <row r="22" spans="2:29" x14ac:dyDescent="0.25">
      <c r="B22" s="8" t="s">
        <v>44</v>
      </c>
      <c r="C22" s="25" t="s">
        <v>45</v>
      </c>
      <c r="D22" s="31"/>
      <c r="E22" s="32">
        <f>24876/2</f>
        <v>12438</v>
      </c>
      <c r="F22" s="27"/>
      <c r="G22" s="27"/>
      <c r="H22" s="27"/>
      <c r="I22" s="27"/>
      <c r="J22" s="28"/>
      <c r="K22" s="28"/>
      <c r="L22" s="27"/>
      <c r="M22" s="28"/>
      <c r="N22" s="28"/>
      <c r="O22" s="28"/>
      <c r="P22" s="27"/>
      <c r="Q22" s="46"/>
      <c r="R22" s="29"/>
      <c r="S22" s="15">
        <f t="shared" si="0"/>
        <v>12438</v>
      </c>
      <c r="T22" s="28"/>
      <c r="U22" s="28"/>
      <c r="V22" s="28"/>
      <c r="W22" s="32"/>
      <c r="X22" s="28">
        <v>1936</v>
      </c>
      <c r="Y22" s="34"/>
      <c r="Z22" s="34"/>
      <c r="AA22" s="34"/>
      <c r="AB22" s="17">
        <f t="shared" si="2"/>
        <v>1936</v>
      </c>
      <c r="AC22" s="18">
        <f t="shared" si="3"/>
        <v>10502</v>
      </c>
    </row>
    <row r="23" spans="2:29" ht="15.75" thickBot="1" x14ac:dyDescent="0.3">
      <c r="B23" s="35" t="s">
        <v>46</v>
      </c>
      <c r="C23" s="36"/>
      <c r="D23" s="37"/>
      <c r="E23" s="38">
        <f>SUM(E4:E22)</f>
        <v>210577.67851253616</v>
      </c>
      <c r="F23" s="38">
        <f t="shared" ref="F23:R23" si="10">SUM(F4:F21)</f>
        <v>14240</v>
      </c>
      <c r="G23" s="38">
        <f t="shared" si="10"/>
        <v>14030</v>
      </c>
      <c r="H23" s="38">
        <f t="shared" si="10"/>
        <v>14100</v>
      </c>
      <c r="I23" s="38">
        <f t="shared" si="10"/>
        <v>9200</v>
      </c>
      <c r="J23" s="38">
        <f t="shared" si="10"/>
        <v>20228.600000000002</v>
      </c>
      <c r="K23" s="38">
        <f t="shared" si="10"/>
        <v>9433</v>
      </c>
      <c r="L23" s="38">
        <f t="shared" si="10"/>
        <v>1550</v>
      </c>
      <c r="M23" s="38">
        <f t="shared" si="10"/>
        <v>7028</v>
      </c>
      <c r="N23" s="38">
        <f t="shared" si="10"/>
        <v>16183.391112304831</v>
      </c>
      <c r="O23" s="38">
        <f t="shared" si="10"/>
        <v>28667.409203342992</v>
      </c>
      <c r="P23" s="38">
        <f t="shared" si="10"/>
        <v>121340.23618835746</v>
      </c>
      <c r="Q23" s="38">
        <f t="shared" si="10"/>
        <v>14004.899999999996</v>
      </c>
      <c r="R23" s="38">
        <f t="shared" si="10"/>
        <v>17550</v>
      </c>
      <c r="S23" s="38">
        <f>SUM(S4:S22)</f>
        <v>498133.21501654154</v>
      </c>
      <c r="T23" s="38">
        <f t="shared" ref="T23:AC23" si="11">SUM(T4:T22)</f>
        <v>845.4644797725</v>
      </c>
      <c r="U23" s="38">
        <f t="shared" si="11"/>
        <v>3500</v>
      </c>
      <c r="V23" s="38">
        <f t="shared" si="11"/>
        <v>7525.194915877536</v>
      </c>
      <c r="W23" s="38">
        <f t="shared" si="11"/>
        <v>13233.585295877538</v>
      </c>
      <c r="X23" s="38">
        <f>SUM(X4:X22)</f>
        <v>58483.15424385103</v>
      </c>
      <c r="Y23" s="38">
        <f t="shared" si="11"/>
        <v>5673.86</v>
      </c>
      <c r="Z23" s="38">
        <f t="shared" si="11"/>
        <v>1933.28</v>
      </c>
      <c r="AA23" s="38">
        <f t="shared" si="11"/>
        <v>1933.28</v>
      </c>
      <c r="AB23" s="38">
        <f t="shared" si="11"/>
        <v>93127.8189353786</v>
      </c>
      <c r="AC23" s="38">
        <f t="shared" si="11"/>
        <v>405005.39608116291</v>
      </c>
    </row>
    <row r="24" spans="2:29" x14ac:dyDescent="0.25"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>
        <f>+AC23-1079964.86</f>
        <v>-674959.46391883725</v>
      </c>
    </row>
    <row r="29" spans="2:29" x14ac:dyDescent="0.25">
      <c r="B29" t="s">
        <v>87</v>
      </c>
      <c r="C29" t="s">
        <v>91</v>
      </c>
    </row>
    <row r="30" spans="2:29" x14ac:dyDescent="0.25">
      <c r="B30" t="s">
        <v>88</v>
      </c>
      <c r="C30" t="s">
        <v>92</v>
      </c>
    </row>
    <row r="31" spans="2:29" x14ac:dyDescent="0.25">
      <c r="B31" t="s">
        <v>89</v>
      </c>
      <c r="C31" t="s">
        <v>93</v>
      </c>
    </row>
    <row r="32" spans="2:29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" right="0.51181102362204722" top="0" bottom="0" header="0.31496062992125984" footer="0.31496062992125984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33"/>
  <sheetViews>
    <sheetView workbookViewId="0">
      <selection activeCell="C4" sqref="C4:Z22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9.5703125" bestFit="1" customWidth="1"/>
    <col min="7" max="13" width="8.7109375" customWidth="1"/>
    <col min="14" max="14" width="9.5703125" bestFit="1" customWidth="1"/>
    <col min="15" max="15" width="8.7109375" customWidth="1"/>
    <col min="16" max="16" width="12.5703125" bestFit="1" customWidth="1"/>
    <col min="17" max="17" width="7.42578125" customWidth="1"/>
    <col min="18" max="19" width="8.7109375" bestFit="1" customWidth="1"/>
    <col min="20" max="20" width="9" customWidth="1"/>
    <col min="21" max="21" width="9.5703125" customWidth="1"/>
    <col min="22" max="22" width="7.85546875" customWidth="1"/>
    <col min="23" max="24" width="8.5703125" customWidth="1"/>
    <col min="25" max="26" width="10.140625" customWidth="1"/>
    <col min="27" max="27" width="9.5703125" customWidth="1"/>
    <col min="28" max="28" width="12.5703125" bestFit="1" customWidth="1"/>
    <col min="29" max="29" width="14.140625" bestFit="1" customWidth="1"/>
  </cols>
  <sheetData>
    <row r="1" spans="2:31" ht="18.75" x14ac:dyDescent="0.25">
      <c r="E1" s="1"/>
      <c r="F1" s="2" t="s">
        <v>79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31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31" ht="48.75" customHeight="1" x14ac:dyDescent="0.25">
      <c r="B3" s="47"/>
      <c r="C3" s="47" t="s">
        <v>1</v>
      </c>
      <c r="D3" s="47" t="s">
        <v>2</v>
      </c>
      <c r="E3" s="47" t="s">
        <v>3</v>
      </c>
      <c r="F3" s="47" t="s">
        <v>47</v>
      </c>
      <c r="G3" s="47" t="s">
        <v>48</v>
      </c>
      <c r="H3" s="47" t="s">
        <v>49</v>
      </c>
      <c r="I3" s="47" t="s">
        <v>50</v>
      </c>
      <c r="J3" s="47" t="s">
        <v>51</v>
      </c>
      <c r="K3" s="47" t="s">
        <v>52</v>
      </c>
      <c r="L3" s="47" t="s">
        <v>11</v>
      </c>
      <c r="M3" s="47" t="s">
        <v>53</v>
      </c>
      <c r="N3" s="47" t="s">
        <v>78</v>
      </c>
      <c r="O3" s="47" t="s">
        <v>54</v>
      </c>
      <c r="P3" s="48" t="s">
        <v>96</v>
      </c>
      <c r="Q3" s="5" t="s">
        <v>15</v>
      </c>
      <c r="R3" s="5" t="s">
        <v>16</v>
      </c>
      <c r="S3" s="5" t="s">
        <v>17</v>
      </c>
      <c r="T3" s="5" t="s">
        <v>18</v>
      </c>
      <c r="U3" s="5" t="s">
        <v>19</v>
      </c>
      <c r="V3" s="6" t="s">
        <v>20</v>
      </c>
      <c r="W3" s="6" t="s">
        <v>21</v>
      </c>
      <c r="X3" s="7" t="s">
        <v>22</v>
      </c>
      <c r="Y3" s="49" t="s">
        <v>83</v>
      </c>
      <c r="Z3" s="49" t="s">
        <v>84</v>
      </c>
      <c r="AA3" s="49" t="s">
        <v>85</v>
      </c>
      <c r="AB3" s="50" t="s">
        <v>86</v>
      </c>
    </row>
    <row r="4" spans="2:31" x14ac:dyDescent="0.25">
      <c r="B4" s="8" t="s">
        <v>87</v>
      </c>
      <c r="C4" s="9" t="s">
        <v>23</v>
      </c>
      <c r="D4" s="10">
        <v>17</v>
      </c>
      <c r="E4" s="11">
        <v>19286.689999999999</v>
      </c>
      <c r="F4" s="13"/>
      <c r="G4" s="12">
        <v>300</v>
      </c>
      <c r="H4" s="13"/>
      <c r="I4" s="12"/>
      <c r="J4" s="12"/>
      <c r="K4" s="12"/>
      <c r="L4" s="12"/>
      <c r="M4" s="12"/>
      <c r="N4" s="12"/>
      <c r="O4" s="12"/>
      <c r="P4" s="15">
        <f>SUM(E4:O4)</f>
        <v>19586.689999999999</v>
      </c>
      <c r="Q4" s="12"/>
      <c r="R4" s="12"/>
      <c r="S4" s="12"/>
      <c r="T4" s="12">
        <f>(E4*0.07)</f>
        <v>1350.0683000000001</v>
      </c>
      <c r="U4" s="12">
        <v>3400.1570879999995</v>
      </c>
      <c r="V4" s="16"/>
      <c r="W4" s="17"/>
      <c r="X4" s="17"/>
      <c r="Y4" s="17"/>
      <c r="Z4" s="17"/>
      <c r="AA4" s="17">
        <f>SUM(Q4:Z4)</f>
        <v>4750.2253879999998</v>
      </c>
      <c r="AB4" s="18">
        <f>+P4-AA4</f>
        <v>14836.464612</v>
      </c>
    </row>
    <row r="5" spans="2:31" x14ac:dyDescent="0.25">
      <c r="B5" s="8" t="s">
        <v>87</v>
      </c>
      <c r="C5" s="9" t="s">
        <v>24</v>
      </c>
      <c r="D5" s="10">
        <v>14</v>
      </c>
      <c r="E5" s="11">
        <v>14917.51</v>
      </c>
      <c r="F5" s="13"/>
      <c r="G5" s="20">
        <f>(300/30)*21</f>
        <v>210</v>
      </c>
      <c r="H5" s="13"/>
      <c r="I5" s="20"/>
      <c r="J5" s="20"/>
      <c r="K5" s="20"/>
      <c r="L5" s="20"/>
      <c r="M5" s="20"/>
      <c r="N5" s="20"/>
      <c r="O5" s="20"/>
      <c r="P5" s="15">
        <f>SUM(E5:O5)</f>
        <v>15127.51</v>
      </c>
      <c r="Q5" s="20"/>
      <c r="R5" s="20"/>
      <c r="S5" s="20"/>
      <c r="T5" s="12">
        <f>(E5*0.07)</f>
        <v>1044.2257000000002</v>
      </c>
      <c r="U5" s="20">
        <f>2374.80964-'[1]JUNIO 11'!AH9</f>
        <v>80.585538400000132</v>
      </c>
      <c r="V5" s="22"/>
      <c r="W5" s="23"/>
      <c r="X5" s="23"/>
      <c r="Y5" s="23"/>
      <c r="Z5" s="23"/>
      <c r="AA5" s="17">
        <f t="shared" ref="AA5:AA21" si="0">SUM(Q5:Z5)</f>
        <v>1124.8112384000003</v>
      </c>
      <c r="AB5" s="18">
        <f t="shared" ref="AB5:AB22" si="1">+P5-AA5</f>
        <v>14002.698761600001</v>
      </c>
    </row>
    <row r="6" spans="2:31" x14ac:dyDescent="0.25">
      <c r="B6" s="8" t="s">
        <v>87</v>
      </c>
      <c r="C6" s="9" t="s">
        <v>25</v>
      </c>
      <c r="D6" s="10">
        <v>14</v>
      </c>
      <c r="E6" s="11">
        <v>14917.51</v>
      </c>
      <c r="F6" s="13"/>
      <c r="G6" s="20">
        <v>300</v>
      </c>
      <c r="H6" s="13"/>
      <c r="I6" s="20"/>
      <c r="J6" s="20"/>
      <c r="K6" s="20"/>
      <c r="L6" s="20"/>
      <c r="M6" s="20"/>
      <c r="N6" s="20"/>
      <c r="O6" s="20"/>
      <c r="P6" s="15">
        <f t="shared" ref="P6:P22" si="2">SUM(E6:O6)</f>
        <v>15217.51</v>
      </c>
      <c r="Q6" s="20"/>
      <c r="R6" s="20"/>
      <c r="S6" s="20"/>
      <c r="T6" s="12">
        <f>(E6*0.07)</f>
        <v>1044.2257000000002</v>
      </c>
      <c r="U6" s="20">
        <v>2384.42164</v>
      </c>
      <c r="V6" s="22"/>
      <c r="W6" s="23"/>
      <c r="X6" s="23"/>
      <c r="Y6" s="23"/>
      <c r="Z6" s="23"/>
      <c r="AA6" s="17">
        <f t="shared" si="0"/>
        <v>3428.6473400000004</v>
      </c>
      <c r="AB6" s="18">
        <f t="shared" si="1"/>
        <v>11788.862659999999</v>
      </c>
    </row>
    <row r="7" spans="2:31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43">
        <v>900</v>
      </c>
      <c r="G7" s="43">
        <v>900</v>
      </c>
      <c r="H7" s="43">
        <v>900</v>
      </c>
      <c r="I7" s="13">
        <v>1000</v>
      </c>
      <c r="J7" s="20"/>
      <c r="K7" s="20">
        <v>750</v>
      </c>
      <c r="L7" s="13"/>
      <c r="M7" s="20"/>
      <c r="N7" s="20"/>
      <c r="O7" s="20"/>
      <c r="P7" s="15">
        <f t="shared" si="2"/>
        <v>19472.099999999999</v>
      </c>
      <c r="Q7" s="20"/>
      <c r="R7" s="20"/>
      <c r="S7" s="20"/>
      <c r="T7" s="12">
        <f t="shared" ref="T7:T19" si="3">(E7*0.07)</f>
        <v>1051.547</v>
      </c>
      <c r="U7" s="20">
        <v>2779.3255199999994</v>
      </c>
      <c r="V7" s="22"/>
      <c r="W7" s="23"/>
      <c r="X7" s="23"/>
      <c r="Y7" s="23"/>
      <c r="Z7" s="23"/>
      <c r="AA7" s="17">
        <f t="shared" si="0"/>
        <v>3830.8725199999994</v>
      </c>
      <c r="AB7" s="18">
        <f t="shared" si="1"/>
        <v>15641.22748</v>
      </c>
    </row>
    <row r="8" spans="2:31" ht="15" customHeight="1" x14ac:dyDescent="0.25">
      <c r="B8" s="8" t="s">
        <v>88</v>
      </c>
      <c r="C8" s="9" t="s">
        <v>28</v>
      </c>
      <c r="D8" s="10">
        <v>13</v>
      </c>
      <c r="E8" s="11">
        <v>15022.1</v>
      </c>
      <c r="F8" s="43">
        <v>900</v>
      </c>
      <c r="G8" s="43">
        <v>900</v>
      </c>
      <c r="H8" s="43">
        <v>900</v>
      </c>
      <c r="I8" s="13">
        <v>1000</v>
      </c>
      <c r="J8" s="20"/>
      <c r="K8" s="20">
        <v>750</v>
      </c>
      <c r="L8" s="13"/>
      <c r="M8" s="20"/>
      <c r="N8" s="20"/>
      <c r="O8" s="20"/>
      <c r="P8" s="15">
        <f t="shared" si="2"/>
        <v>19472.099999999999</v>
      </c>
      <c r="Q8" s="20"/>
      <c r="R8" s="20"/>
      <c r="S8" s="20"/>
      <c r="T8" s="12">
        <f t="shared" si="3"/>
        <v>1051.547</v>
      </c>
      <c r="U8" s="20">
        <v>2779.3255199999994</v>
      </c>
      <c r="V8" s="22"/>
      <c r="W8" s="23"/>
      <c r="X8" s="23"/>
      <c r="Y8" s="23"/>
      <c r="Z8" s="23"/>
      <c r="AA8" s="17">
        <f t="shared" si="0"/>
        <v>3830.8725199999994</v>
      </c>
      <c r="AB8" s="18">
        <f t="shared" si="1"/>
        <v>15641.22748</v>
      </c>
    </row>
    <row r="9" spans="2:31" ht="15" customHeight="1" x14ac:dyDescent="0.25">
      <c r="B9" s="8" t="s">
        <v>88</v>
      </c>
      <c r="C9" s="9" t="s">
        <v>29</v>
      </c>
      <c r="D9" s="10">
        <v>9</v>
      </c>
      <c r="E9" s="11">
        <v>11333.03</v>
      </c>
      <c r="F9" s="43">
        <v>900</v>
      </c>
      <c r="G9" s="43">
        <v>900</v>
      </c>
      <c r="H9" s="43">
        <v>900</v>
      </c>
      <c r="I9" s="13">
        <v>1000</v>
      </c>
      <c r="J9" s="20"/>
      <c r="K9" s="20">
        <v>566</v>
      </c>
      <c r="L9" s="13"/>
      <c r="M9" s="20"/>
      <c r="N9" s="20"/>
      <c r="O9" s="20"/>
      <c r="P9" s="15">
        <f t="shared" si="2"/>
        <v>15599.03</v>
      </c>
      <c r="Q9" s="20"/>
      <c r="R9" s="20"/>
      <c r="S9" s="20"/>
      <c r="T9" s="12">
        <f t="shared" si="3"/>
        <v>793.3121000000001</v>
      </c>
      <c r="U9" s="20">
        <v>1946.2255120000004</v>
      </c>
      <c r="V9" s="22"/>
      <c r="W9" s="23"/>
      <c r="X9" s="23">
        <v>2938.2</v>
      </c>
      <c r="Y9" s="23"/>
      <c r="Z9" s="23"/>
      <c r="AA9" s="17">
        <f t="shared" si="0"/>
        <v>5677.7376120000008</v>
      </c>
      <c r="AB9" s="18">
        <f t="shared" si="1"/>
        <v>9921.2923879999998</v>
      </c>
    </row>
    <row r="10" spans="2:31" ht="15" customHeight="1" x14ac:dyDescent="0.25">
      <c r="B10" s="8" t="s">
        <v>89</v>
      </c>
      <c r="C10" s="9" t="s">
        <v>30</v>
      </c>
      <c r="D10" s="10">
        <v>10</v>
      </c>
      <c r="E10" s="11">
        <v>15424.35954953621</v>
      </c>
      <c r="F10" s="13">
        <v>1133</v>
      </c>
      <c r="G10" s="13">
        <v>1133</v>
      </c>
      <c r="H10" s="13">
        <v>1133</v>
      </c>
      <c r="I10" s="13">
        <v>1000</v>
      </c>
      <c r="J10" s="20"/>
      <c r="K10" s="20">
        <v>606</v>
      </c>
      <c r="L10" s="13"/>
      <c r="M10" s="20">
        <v>999</v>
      </c>
      <c r="N10" s="20"/>
      <c r="O10" s="20"/>
      <c r="P10" s="15">
        <f t="shared" si="2"/>
        <v>21428.35954953621</v>
      </c>
      <c r="Q10" s="20"/>
      <c r="R10" s="20"/>
      <c r="S10" s="20">
        <f t="shared" ref="S10:S19" si="4">(E10*0.07)</f>
        <v>1079.7051684675348</v>
      </c>
      <c r="T10" s="12">
        <f t="shared" si="3"/>
        <v>1079.7051684675348</v>
      </c>
      <c r="U10" s="20">
        <v>3029.2865660509165</v>
      </c>
      <c r="V10" s="22"/>
      <c r="W10" s="23"/>
      <c r="X10" s="23"/>
      <c r="Y10" s="23"/>
      <c r="Z10" s="23"/>
      <c r="AA10" s="17">
        <f t="shared" si="0"/>
        <v>5188.6969029859865</v>
      </c>
      <c r="AB10" s="18">
        <f t="shared" si="1"/>
        <v>16239.662646550223</v>
      </c>
    </row>
    <row r="11" spans="2:31" ht="15" customHeight="1" x14ac:dyDescent="0.25">
      <c r="B11" s="8" t="s">
        <v>89</v>
      </c>
      <c r="C11" s="9" t="s">
        <v>31</v>
      </c>
      <c r="D11" s="10">
        <v>8</v>
      </c>
      <c r="E11" s="11">
        <v>13360.854858749999</v>
      </c>
      <c r="F11" s="13">
        <v>1133</v>
      </c>
      <c r="G11" s="13">
        <v>1133</v>
      </c>
      <c r="H11" s="13">
        <v>1133</v>
      </c>
      <c r="I11" s="13">
        <v>1000</v>
      </c>
      <c r="J11" s="12"/>
      <c r="K11" s="20">
        <v>525</v>
      </c>
      <c r="L11" s="13">
        <v>325</v>
      </c>
      <c r="M11" s="13">
        <v>925</v>
      </c>
      <c r="N11" s="13">
        <f>(E11/15)*60</f>
        <v>53443.419434999996</v>
      </c>
      <c r="O11" s="13"/>
      <c r="P11" s="15">
        <f>SUM(E11:O11)</f>
        <v>72978.274293750001</v>
      </c>
      <c r="Q11" s="20">
        <f t="shared" ref="Q11:Q18" si="5">(E11*0.01)</f>
        <v>133.6085485875</v>
      </c>
      <c r="R11" s="20">
        <f>1000</f>
        <v>1000</v>
      </c>
      <c r="S11" s="20">
        <f t="shared" si="4"/>
        <v>935.2598401125</v>
      </c>
      <c r="T11" s="12">
        <f t="shared" si="3"/>
        <v>935.2598401125</v>
      </c>
      <c r="U11" s="20">
        <v>5621.4611066179996</v>
      </c>
      <c r="V11" s="22"/>
      <c r="W11" s="23"/>
      <c r="X11" s="23"/>
      <c r="Y11" s="23">
        <f>966.64</f>
        <v>966.64</v>
      </c>
      <c r="Z11" s="23"/>
      <c r="AA11" s="17">
        <f t="shared" si="0"/>
        <v>9592.2293354305002</v>
      </c>
      <c r="AB11" s="18">
        <f>+P11-AA11</f>
        <v>63386.0449583195</v>
      </c>
      <c r="AC11" s="19"/>
      <c r="AD11" s="19"/>
      <c r="AE11" s="19"/>
    </row>
    <row r="12" spans="2:31" ht="22.5" x14ac:dyDescent="0.25">
      <c r="B12" s="8" t="s">
        <v>89</v>
      </c>
      <c r="C12" s="25" t="s">
        <v>32</v>
      </c>
      <c r="D12" s="26">
        <v>7</v>
      </c>
      <c r="E12" s="11">
        <v>12482.481170250001</v>
      </c>
      <c r="F12" s="13">
        <v>1133</v>
      </c>
      <c r="G12" s="13">
        <v>1133</v>
      </c>
      <c r="H12" s="13">
        <v>1133</v>
      </c>
      <c r="I12" s="13">
        <v>1000</v>
      </c>
      <c r="J12" s="12">
        <v>295</v>
      </c>
      <c r="K12" s="20">
        <v>491</v>
      </c>
      <c r="L12" s="20">
        <v>325</v>
      </c>
      <c r="M12" s="20">
        <v>893</v>
      </c>
      <c r="N12" s="20"/>
      <c r="O12" s="20"/>
      <c r="P12" s="15">
        <f t="shared" si="2"/>
        <v>18885.481170250001</v>
      </c>
      <c r="Q12" s="20">
        <f t="shared" si="5"/>
        <v>124.82481170250001</v>
      </c>
      <c r="R12" s="20"/>
      <c r="S12" s="20">
        <f t="shared" si="4"/>
        <v>873.7736819175002</v>
      </c>
      <c r="T12" s="12">
        <f t="shared" si="3"/>
        <v>873.7736819175002</v>
      </c>
      <c r="U12" s="20">
        <v>2429.8054819654003</v>
      </c>
      <c r="V12" s="23"/>
      <c r="W12" s="22"/>
      <c r="X12" s="22"/>
      <c r="Y12" s="22"/>
      <c r="Z12" s="22"/>
      <c r="AA12" s="17">
        <f t="shared" si="0"/>
        <v>4302.1776575029007</v>
      </c>
      <c r="AB12" s="18">
        <f t="shared" si="1"/>
        <v>14583.303512747101</v>
      </c>
      <c r="AE12" s="19"/>
    </row>
    <row r="13" spans="2:31" x14ac:dyDescent="0.25">
      <c r="B13" s="8" t="s">
        <v>89</v>
      </c>
      <c r="C13" s="25" t="s">
        <v>33</v>
      </c>
      <c r="D13" s="26">
        <v>7</v>
      </c>
      <c r="E13" s="11">
        <v>12482.481170250001</v>
      </c>
      <c r="F13" s="13">
        <v>1133</v>
      </c>
      <c r="G13" s="13">
        <v>1133</v>
      </c>
      <c r="H13" s="13">
        <v>1133</v>
      </c>
      <c r="I13" s="13">
        <v>1000</v>
      </c>
      <c r="J13" s="12">
        <v>295</v>
      </c>
      <c r="K13" s="20">
        <v>491</v>
      </c>
      <c r="L13" s="20"/>
      <c r="M13" s="20">
        <v>893</v>
      </c>
      <c r="N13" s="20"/>
      <c r="O13" s="20">
        <v>800</v>
      </c>
      <c r="P13" s="15">
        <f t="shared" si="2"/>
        <v>19360.481170250001</v>
      </c>
      <c r="Q13" s="20">
        <f t="shared" si="5"/>
        <v>124.82481170250001</v>
      </c>
      <c r="R13" s="20"/>
      <c r="S13" s="20">
        <f t="shared" si="4"/>
        <v>873.7736819175002</v>
      </c>
      <c r="T13" s="12">
        <f t="shared" si="3"/>
        <v>873.7736819175002</v>
      </c>
      <c r="U13" s="20">
        <v>2445.8254819654003</v>
      </c>
      <c r="V13" s="22"/>
      <c r="W13" s="23"/>
      <c r="X13" s="22"/>
      <c r="Y13" s="22"/>
      <c r="Z13" s="22"/>
      <c r="AA13" s="17">
        <f t="shared" si="0"/>
        <v>4318.1976575029003</v>
      </c>
      <c r="AB13" s="18">
        <f t="shared" si="1"/>
        <v>15042.283512747101</v>
      </c>
      <c r="AE13" s="19"/>
    </row>
    <row r="14" spans="2:31" x14ac:dyDescent="0.25">
      <c r="B14" s="8" t="s">
        <v>89</v>
      </c>
      <c r="C14" s="9" t="s">
        <v>35</v>
      </c>
      <c r="D14" s="10">
        <v>5</v>
      </c>
      <c r="E14" s="11">
        <v>10948.878517500001</v>
      </c>
      <c r="F14" s="13">
        <v>1133</v>
      </c>
      <c r="G14" s="13">
        <v>1133</v>
      </c>
      <c r="H14" s="13">
        <v>1133</v>
      </c>
      <c r="I14" s="13">
        <v>1000</v>
      </c>
      <c r="J14" s="13">
        <v>260</v>
      </c>
      <c r="K14" s="20"/>
      <c r="L14" s="13">
        <v>150</v>
      </c>
      <c r="M14" s="20">
        <v>838</v>
      </c>
      <c r="N14" s="20"/>
      <c r="O14" s="20"/>
      <c r="P14" s="15">
        <f t="shared" si="2"/>
        <v>16595.878517500001</v>
      </c>
      <c r="Q14" s="20">
        <f t="shared" si="5"/>
        <v>109.48878517500002</v>
      </c>
      <c r="R14" s="20">
        <f>500</f>
        <v>500</v>
      </c>
      <c r="S14" s="20">
        <f t="shared" si="4"/>
        <v>766.42149622500017</v>
      </c>
      <c r="T14" s="12">
        <f t="shared" si="3"/>
        <v>766.42149622500017</v>
      </c>
      <c r="U14" s="20">
        <v>2002.7971553380003</v>
      </c>
      <c r="V14" s="22"/>
      <c r="W14" s="23"/>
      <c r="X14" s="23"/>
      <c r="Y14" s="23"/>
      <c r="Z14" s="23"/>
      <c r="AA14" s="17">
        <f t="shared" si="0"/>
        <v>4145.1289329630008</v>
      </c>
      <c r="AB14" s="18">
        <f t="shared" si="1"/>
        <v>12450.749584536999</v>
      </c>
    </row>
    <row r="15" spans="2:31" x14ac:dyDescent="0.25">
      <c r="B15" s="8" t="s">
        <v>89</v>
      </c>
      <c r="C15" s="9" t="s">
        <v>36</v>
      </c>
      <c r="D15" s="10">
        <v>4</v>
      </c>
      <c r="E15" s="11">
        <v>9610.9981694999988</v>
      </c>
      <c r="F15" s="13">
        <v>1133</v>
      </c>
      <c r="G15" s="13">
        <v>1133</v>
      </c>
      <c r="H15" s="13">
        <v>1133</v>
      </c>
      <c r="I15" s="13">
        <v>1000</v>
      </c>
      <c r="J15" s="13">
        <v>230</v>
      </c>
      <c r="K15" s="20"/>
      <c r="L15" s="13">
        <v>150</v>
      </c>
      <c r="M15" s="20">
        <v>790</v>
      </c>
      <c r="N15" s="20"/>
      <c r="O15" s="20"/>
      <c r="P15" s="15">
        <f t="shared" si="2"/>
        <v>15179.998169499999</v>
      </c>
      <c r="Q15" s="20">
        <f t="shared" si="5"/>
        <v>96.109981694999988</v>
      </c>
      <c r="R15" s="20"/>
      <c r="S15" s="20">
        <f t="shared" si="4"/>
        <v>672.76987186500003</v>
      </c>
      <c r="T15" s="12">
        <f t="shared" si="3"/>
        <v>672.76987186500003</v>
      </c>
      <c r="U15" s="20">
        <v>1708.6955130051999</v>
      </c>
      <c r="V15" s="22"/>
      <c r="W15" s="23"/>
      <c r="X15" s="23"/>
      <c r="Y15" s="23"/>
      <c r="Z15" s="23"/>
      <c r="AA15" s="17">
        <f t="shared" si="0"/>
        <v>3150.3452384302</v>
      </c>
      <c r="AB15" s="18">
        <f t="shared" si="1"/>
        <v>12029.652931069799</v>
      </c>
    </row>
    <row r="16" spans="2:31" x14ac:dyDescent="0.25">
      <c r="B16" s="8" t="s">
        <v>89</v>
      </c>
      <c r="C16" s="9" t="s">
        <v>37</v>
      </c>
      <c r="D16" s="10">
        <v>4</v>
      </c>
      <c r="E16" s="11">
        <v>9610.9981694999988</v>
      </c>
      <c r="F16" s="13">
        <v>1133</v>
      </c>
      <c r="G16" s="13">
        <v>1133</v>
      </c>
      <c r="H16" s="13">
        <v>1133</v>
      </c>
      <c r="I16" s="13">
        <v>1000</v>
      </c>
      <c r="J16" s="13">
        <v>230</v>
      </c>
      <c r="K16" s="20"/>
      <c r="L16" s="13">
        <v>150</v>
      </c>
      <c r="M16" s="20">
        <v>790</v>
      </c>
      <c r="N16" s="20"/>
      <c r="O16" s="20"/>
      <c r="P16" s="15">
        <f t="shared" si="2"/>
        <v>15179.998169499999</v>
      </c>
      <c r="Q16" s="20">
        <f t="shared" si="5"/>
        <v>96.109981694999988</v>
      </c>
      <c r="R16" s="20">
        <f>500</f>
        <v>500</v>
      </c>
      <c r="S16" s="20">
        <f t="shared" si="4"/>
        <v>672.76987186500003</v>
      </c>
      <c r="T16" s="12">
        <f t="shared" si="3"/>
        <v>672.76987186500003</v>
      </c>
      <c r="U16" s="20">
        <v>1708.6955130051999</v>
      </c>
      <c r="V16" s="22"/>
      <c r="W16" s="23"/>
      <c r="X16" s="23"/>
      <c r="Y16" s="23"/>
      <c r="Z16" s="23"/>
      <c r="AA16" s="17">
        <f t="shared" si="0"/>
        <v>3650.3452384302</v>
      </c>
      <c r="AB16" s="18">
        <f t="shared" si="1"/>
        <v>11529.652931069799</v>
      </c>
    </row>
    <row r="17" spans="2:29" x14ac:dyDescent="0.25">
      <c r="B17" s="8" t="s">
        <v>89</v>
      </c>
      <c r="C17" s="9" t="s">
        <v>38</v>
      </c>
      <c r="D17" s="10">
        <v>2</v>
      </c>
      <c r="E17" s="11">
        <f>(8024.87796075/15)*1</f>
        <v>534.99186405</v>
      </c>
      <c r="F17" s="13">
        <f>(1133/30)*16</f>
        <v>604.26666666666665</v>
      </c>
      <c r="G17" s="13">
        <f>(1133/30)*16</f>
        <v>604.26666666666665</v>
      </c>
      <c r="H17" s="13">
        <f>(1133/30)*16</f>
        <v>604.26666666666665</v>
      </c>
      <c r="I17" s="13">
        <f>(1000/30)*16</f>
        <v>533.33333333333337</v>
      </c>
      <c r="J17" s="13">
        <f>(190/30)*16</f>
        <v>101.33333333333333</v>
      </c>
      <c r="K17" s="20"/>
      <c r="L17" s="13">
        <v>150</v>
      </c>
      <c r="M17" s="20">
        <f>(733/30)*16</f>
        <v>390.93333333333334</v>
      </c>
      <c r="N17" s="20"/>
      <c r="O17" s="20">
        <f>(800/30)*16</f>
        <v>426.66666666666669</v>
      </c>
      <c r="P17" s="15">
        <f t="shared" si="2"/>
        <v>3950.0585307166671</v>
      </c>
      <c r="Q17" s="20">
        <f t="shared" si="5"/>
        <v>5.3499186405000003</v>
      </c>
      <c r="R17" s="20"/>
      <c r="S17" s="20">
        <f t="shared" si="4"/>
        <v>37.449430483500002</v>
      </c>
      <c r="T17" s="12">
        <f t="shared" si="3"/>
        <v>37.449430483500002</v>
      </c>
      <c r="U17" s="20">
        <v>112.2714792992</v>
      </c>
      <c r="V17" s="22"/>
      <c r="W17" s="23"/>
      <c r="X17" s="23"/>
      <c r="Y17" s="23"/>
      <c r="Z17" s="23"/>
      <c r="AA17" s="17">
        <f t="shared" si="0"/>
        <v>192.52025890670001</v>
      </c>
      <c r="AB17" s="18">
        <f t="shared" si="1"/>
        <v>3757.5382718099672</v>
      </c>
    </row>
    <row r="18" spans="2:29" x14ac:dyDescent="0.25">
      <c r="B18" s="8" t="s">
        <v>89</v>
      </c>
      <c r="C18" s="9" t="s">
        <v>39</v>
      </c>
      <c r="D18" s="10">
        <v>2</v>
      </c>
      <c r="E18" s="11">
        <v>8024.8779607499991</v>
      </c>
      <c r="F18" s="13">
        <v>1133</v>
      </c>
      <c r="G18" s="13">
        <v>1133</v>
      </c>
      <c r="H18" s="13">
        <v>1133</v>
      </c>
      <c r="I18" s="13">
        <v>1000</v>
      </c>
      <c r="J18" s="13">
        <v>190</v>
      </c>
      <c r="K18" s="20"/>
      <c r="L18" s="13">
        <v>150</v>
      </c>
      <c r="M18" s="20">
        <v>733</v>
      </c>
      <c r="N18" s="20"/>
      <c r="O18" s="20"/>
      <c r="P18" s="15">
        <f t="shared" si="2"/>
        <v>13496.87796075</v>
      </c>
      <c r="Q18" s="20">
        <f t="shared" si="5"/>
        <v>80.248779607499998</v>
      </c>
      <c r="R18" s="20">
        <f>500</f>
        <v>500</v>
      </c>
      <c r="S18" s="20">
        <f t="shared" si="4"/>
        <v>561.74145725250003</v>
      </c>
      <c r="T18" s="12">
        <f t="shared" si="3"/>
        <v>561.74145725250003</v>
      </c>
      <c r="U18" s="20">
        <v>1359.5406364162002</v>
      </c>
      <c r="V18" s="22"/>
      <c r="W18" s="23"/>
      <c r="X18" s="23"/>
      <c r="Y18" s="23">
        <f>966.64</f>
        <v>966.64</v>
      </c>
      <c r="Z18" s="23">
        <f>1933.28</f>
        <v>1933.28</v>
      </c>
      <c r="AA18" s="17">
        <f t="shared" si="0"/>
        <v>5963.1923305287</v>
      </c>
      <c r="AB18" s="18">
        <f t="shared" si="1"/>
        <v>7533.6856302213</v>
      </c>
    </row>
    <row r="19" spans="2:29" ht="22.5" x14ac:dyDescent="0.25">
      <c r="B19" s="8" t="s">
        <v>89</v>
      </c>
      <c r="C19" s="9" t="s">
        <v>41</v>
      </c>
      <c r="D19" s="10">
        <v>1</v>
      </c>
      <c r="E19" s="11">
        <v>7531.9769857499987</v>
      </c>
      <c r="F19" s="13">
        <v>1133</v>
      </c>
      <c r="G19" s="13">
        <v>1133</v>
      </c>
      <c r="H19" s="13">
        <v>1133</v>
      </c>
      <c r="I19" s="13">
        <v>1000</v>
      </c>
      <c r="J19" s="13">
        <v>180</v>
      </c>
      <c r="K19" s="20"/>
      <c r="L19" s="13">
        <v>150</v>
      </c>
      <c r="M19" s="20">
        <v>715</v>
      </c>
      <c r="N19" s="20"/>
      <c r="O19" s="20"/>
      <c r="P19" s="15">
        <f t="shared" si="2"/>
        <v>12975.97698575</v>
      </c>
      <c r="Q19" s="20"/>
      <c r="R19" s="20"/>
      <c r="S19" s="20">
        <f t="shared" si="4"/>
        <v>527.23838900249996</v>
      </c>
      <c r="T19" s="12">
        <f t="shared" si="3"/>
        <v>527.23838900249996</v>
      </c>
      <c r="U19" s="20">
        <v>1251.2665881562</v>
      </c>
      <c r="V19" s="22"/>
      <c r="W19" s="23"/>
      <c r="X19" s="23">
        <v>2735.66</v>
      </c>
      <c r="Y19" s="23"/>
      <c r="Z19" s="23"/>
      <c r="AA19" s="17">
        <f t="shared" si="0"/>
        <v>5041.4033661611993</v>
      </c>
      <c r="AB19" s="18">
        <f t="shared" si="1"/>
        <v>7934.5736195888003</v>
      </c>
    </row>
    <row r="20" spans="2:29" ht="22.5" x14ac:dyDescent="0.25">
      <c r="B20" s="8" t="s">
        <v>90</v>
      </c>
      <c r="C20" s="9" t="s">
        <v>42</v>
      </c>
      <c r="D20" s="10"/>
      <c r="E20" s="11">
        <v>6069.96</v>
      </c>
      <c r="F20" s="30"/>
      <c r="G20" s="30"/>
      <c r="H20" s="30"/>
      <c r="I20" s="27"/>
      <c r="J20" s="28"/>
      <c r="K20" s="28"/>
      <c r="L20" s="28"/>
      <c r="M20" s="20"/>
      <c r="N20" s="20"/>
      <c r="O20" s="20"/>
      <c r="P20" s="15">
        <f t="shared" si="2"/>
        <v>6069.96</v>
      </c>
      <c r="Q20" s="20"/>
      <c r="R20" s="28"/>
      <c r="S20" s="28"/>
      <c r="T20" s="12"/>
      <c r="U20" s="20">
        <v>527.76699999999994</v>
      </c>
      <c r="V20" s="22"/>
      <c r="W20" s="23"/>
      <c r="X20" s="23"/>
      <c r="Y20" s="23"/>
      <c r="Z20" s="23"/>
      <c r="AA20" s="17">
        <f t="shared" si="0"/>
        <v>527.76699999999994</v>
      </c>
      <c r="AB20" s="18">
        <f t="shared" si="1"/>
        <v>5542.1930000000002</v>
      </c>
    </row>
    <row r="21" spans="2:29" x14ac:dyDescent="0.25">
      <c r="B21" s="8" t="s">
        <v>90</v>
      </c>
      <c r="C21" s="25" t="s">
        <v>43</v>
      </c>
      <c r="D21" s="31"/>
      <c r="E21" s="32">
        <v>3018.5</v>
      </c>
      <c r="F21" s="30"/>
      <c r="G21" s="30"/>
      <c r="H21" s="30"/>
      <c r="I21" s="27"/>
      <c r="J21" s="28"/>
      <c r="K21" s="28"/>
      <c r="L21" s="28"/>
      <c r="M21" s="20"/>
      <c r="N21" s="20"/>
      <c r="O21" s="20"/>
      <c r="P21" s="15">
        <f t="shared" si="2"/>
        <v>3018.5</v>
      </c>
      <c r="Q21" s="20"/>
      <c r="R21" s="28"/>
      <c r="S21" s="28"/>
      <c r="T21" s="12"/>
      <c r="U21" s="20">
        <v>176.47039999999998</v>
      </c>
      <c r="V21" s="22"/>
      <c r="W21" s="23"/>
      <c r="X21" s="23"/>
      <c r="Y21" s="23"/>
      <c r="Z21" s="23"/>
      <c r="AA21" s="17">
        <f t="shared" si="0"/>
        <v>176.47039999999998</v>
      </c>
      <c r="AB21" s="18">
        <f t="shared" si="1"/>
        <v>2842.0295999999998</v>
      </c>
    </row>
    <row r="22" spans="2:29" x14ac:dyDescent="0.25">
      <c r="B22" s="8" t="s">
        <v>44</v>
      </c>
      <c r="C22" s="25" t="s">
        <v>45</v>
      </c>
      <c r="D22" s="31"/>
      <c r="E22" s="32">
        <f>24876/2</f>
        <v>12438</v>
      </c>
      <c r="F22" s="30"/>
      <c r="G22" s="30"/>
      <c r="H22" s="30"/>
      <c r="I22" s="27"/>
      <c r="J22" s="28"/>
      <c r="K22" s="28"/>
      <c r="L22" s="28"/>
      <c r="M22" s="28"/>
      <c r="N22" s="28"/>
      <c r="O22" s="28"/>
      <c r="P22" s="15">
        <f t="shared" si="2"/>
        <v>12438</v>
      </c>
      <c r="Q22" s="28"/>
      <c r="R22" s="28"/>
      <c r="S22" s="28"/>
      <c r="T22" s="32"/>
      <c r="U22" s="28">
        <v>1936</v>
      </c>
      <c r="V22" s="33"/>
      <c r="W22" s="34"/>
      <c r="X22" s="34"/>
      <c r="Y22" s="34"/>
      <c r="Z22" s="34"/>
      <c r="AA22" s="17">
        <f t="shared" ref="AA22" si="6">SUM(Q22:Z22)</f>
        <v>1936</v>
      </c>
      <c r="AB22" s="18">
        <f t="shared" si="1"/>
        <v>10502</v>
      </c>
    </row>
    <row r="23" spans="2:29" ht="15.75" thickBot="1" x14ac:dyDescent="0.3">
      <c r="B23" s="35" t="s">
        <v>46</v>
      </c>
      <c r="C23" s="36"/>
      <c r="D23" s="37"/>
      <c r="E23" s="38">
        <f t="shared" ref="E23:P23" si="7">SUM(E4:E22)</f>
        <v>212038.29841583618</v>
      </c>
      <c r="F23" s="38">
        <f t="shared" si="7"/>
        <v>13501.266666666666</v>
      </c>
      <c r="G23" s="38">
        <f t="shared" si="7"/>
        <v>14311.266666666666</v>
      </c>
      <c r="H23" s="38">
        <f t="shared" si="7"/>
        <v>13501.266666666666</v>
      </c>
      <c r="I23" s="38">
        <f t="shared" si="7"/>
        <v>12533.333333333334</v>
      </c>
      <c r="J23" s="38">
        <f t="shared" si="7"/>
        <v>1781.3333333333333</v>
      </c>
      <c r="K23" s="38">
        <f t="shared" si="7"/>
        <v>4179</v>
      </c>
      <c r="L23" s="38">
        <f t="shared" si="7"/>
        <v>1550</v>
      </c>
      <c r="M23" s="38">
        <f t="shared" si="7"/>
        <v>7966.9333333333334</v>
      </c>
      <c r="N23" s="38">
        <f t="shared" si="7"/>
        <v>53443.419434999996</v>
      </c>
      <c r="O23" s="38">
        <f t="shared" si="7"/>
        <v>1226.6666666666667</v>
      </c>
      <c r="P23" s="38">
        <f t="shared" si="7"/>
        <v>336032.78451750288</v>
      </c>
      <c r="Q23" s="38">
        <f t="shared" ref="Q23:AB23" si="8">SUM(Q4:Q22)</f>
        <v>770.56561880550009</v>
      </c>
      <c r="R23" s="38">
        <f t="shared" si="8"/>
        <v>2500</v>
      </c>
      <c r="S23" s="38">
        <f t="shared" si="8"/>
        <v>7000.9028891085354</v>
      </c>
      <c r="T23" s="38">
        <f t="shared" si="8"/>
        <v>13335.828689108539</v>
      </c>
      <c r="U23" s="38">
        <f>SUM(U4:U22)</f>
        <v>37679.92374021971</v>
      </c>
      <c r="V23" s="38">
        <f t="shared" si="8"/>
        <v>0</v>
      </c>
      <c r="W23" s="38">
        <f t="shared" si="8"/>
        <v>0</v>
      </c>
      <c r="X23" s="38">
        <f t="shared" si="8"/>
        <v>5673.86</v>
      </c>
      <c r="Y23" s="38">
        <f t="shared" si="8"/>
        <v>1933.28</v>
      </c>
      <c r="Z23" s="38">
        <f t="shared" si="8"/>
        <v>1933.28</v>
      </c>
      <c r="AA23" s="38">
        <f t="shared" si="8"/>
        <v>70827.640937242293</v>
      </c>
      <c r="AB23" s="38">
        <f t="shared" si="8"/>
        <v>265205.14358026057</v>
      </c>
      <c r="AC23" s="19"/>
    </row>
    <row r="24" spans="2:29" x14ac:dyDescent="0.25">
      <c r="B24" s="42"/>
      <c r="E24" s="40"/>
    </row>
    <row r="25" spans="2:29" x14ac:dyDescent="0.25">
      <c r="E25" s="40"/>
    </row>
    <row r="26" spans="2:29" x14ac:dyDescent="0.25">
      <c r="E26" s="40"/>
    </row>
    <row r="27" spans="2:29" x14ac:dyDescent="0.25">
      <c r="E27" s="40"/>
    </row>
    <row r="28" spans="2:29" x14ac:dyDescent="0.25">
      <c r="E28" s="40"/>
      <c r="P28" s="19"/>
      <c r="AB28" s="19"/>
    </row>
    <row r="29" spans="2:29" x14ac:dyDescent="0.25">
      <c r="B29" t="s">
        <v>87</v>
      </c>
      <c r="C29" t="s">
        <v>91</v>
      </c>
      <c r="P29" s="19"/>
      <c r="AB29" s="19"/>
    </row>
    <row r="30" spans="2:29" x14ac:dyDescent="0.25">
      <c r="B30" t="s">
        <v>88</v>
      </c>
      <c r="C30" t="s">
        <v>92</v>
      </c>
      <c r="P30" s="19"/>
      <c r="AB30" s="19"/>
    </row>
    <row r="31" spans="2:29" x14ac:dyDescent="0.25">
      <c r="B31" t="s">
        <v>89</v>
      </c>
      <c r="C31" t="s">
        <v>93</v>
      </c>
      <c r="P31" s="19"/>
      <c r="AB31" s="19"/>
    </row>
    <row r="32" spans="2:29" x14ac:dyDescent="0.25">
      <c r="B32" t="s">
        <v>90</v>
      </c>
      <c r="C32" t="s">
        <v>94</v>
      </c>
      <c r="AB32" s="19"/>
    </row>
    <row r="33" spans="2:3" x14ac:dyDescent="0.25">
      <c r="B33" t="s">
        <v>44</v>
      </c>
      <c r="C33" t="s">
        <v>95</v>
      </c>
    </row>
  </sheetData>
  <pageMargins left="0" right="0.70866141732283472" top="0" bottom="0" header="0.31496062992125984" footer="0.31496062992125984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"/>
  <sheetViews>
    <sheetView workbookViewId="0">
      <selection activeCell="C3" sqref="C3:D3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10.140625" customWidth="1"/>
    <col min="7" max="7" width="8.85546875" customWidth="1"/>
    <col min="8" max="8" width="9.7109375" customWidth="1"/>
    <col min="9" max="9" width="9" customWidth="1"/>
    <col min="10" max="11" width="8.85546875" customWidth="1"/>
    <col min="12" max="14" width="8.7109375" customWidth="1"/>
    <col min="15" max="15" width="12.5703125" bestFit="1" customWidth="1"/>
    <col min="16" max="16" width="7.42578125" customWidth="1"/>
    <col min="17" max="18" width="8.7109375" bestFit="1" customWidth="1"/>
    <col min="19" max="19" width="9" customWidth="1"/>
    <col min="20" max="20" width="9.5703125" customWidth="1"/>
    <col min="21" max="21" width="7.85546875" hidden="1" customWidth="1"/>
    <col min="22" max="22" width="8.5703125" hidden="1" customWidth="1"/>
    <col min="23" max="23" width="8.5703125" customWidth="1"/>
    <col min="24" max="25" width="10.140625" customWidth="1"/>
    <col min="26" max="26" width="9.5703125" customWidth="1"/>
    <col min="27" max="27" width="12.5703125" bestFit="1" customWidth="1"/>
    <col min="28" max="28" width="14.140625" bestFit="1" customWidth="1"/>
  </cols>
  <sheetData>
    <row r="1" spans="2:27" ht="18.75" x14ac:dyDescent="0.25">
      <c r="E1" s="1"/>
      <c r="F1" s="2" t="s">
        <v>80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2:27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</row>
    <row r="3" spans="2:27" ht="48.75" customHeight="1" x14ac:dyDescent="0.25">
      <c r="B3" s="47"/>
      <c r="C3" s="47" t="s">
        <v>1</v>
      </c>
      <c r="D3" s="47" t="s">
        <v>2</v>
      </c>
      <c r="E3" s="47" t="s">
        <v>3</v>
      </c>
      <c r="F3" s="47" t="s">
        <v>4</v>
      </c>
      <c r="G3" s="47" t="s">
        <v>5</v>
      </c>
      <c r="H3" s="47" t="s">
        <v>7</v>
      </c>
      <c r="I3" s="47" t="s">
        <v>8</v>
      </c>
      <c r="J3" s="47" t="s">
        <v>9</v>
      </c>
      <c r="K3" s="47" t="s">
        <v>10</v>
      </c>
      <c r="L3" s="47" t="s">
        <v>11</v>
      </c>
      <c r="M3" s="47" t="s">
        <v>12</v>
      </c>
      <c r="N3" s="47" t="s">
        <v>13</v>
      </c>
      <c r="O3" s="48" t="s">
        <v>96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6" t="s">
        <v>20</v>
      </c>
      <c r="V3" s="6" t="s">
        <v>21</v>
      </c>
      <c r="W3" s="7" t="s">
        <v>22</v>
      </c>
      <c r="X3" s="49" t="s">
        <v>83</v>
      </c>
      <c r="Y3" s="49" t="s">
        <v>84</v>
      </c>
      <c r="Z3" s="49" t="s">
        <v>85</v>
      </c>
      <c r="AA3" s="50" t="s">
        <v>86</v>
      </c>
    </row>
    <row r="4" spans="2:27" x14ac:dyDescent="0.25">
      <c r="B4" s="8" t="s">
        <v>87</v>
      </c>
      <c r="C4" s="9" t="s">
        <v>23</v>
      </c>
      <c r="D4" s="10">
        <v>17</v>
      </c>
      <c r="E4" s="11">
        <v>19286.689999999999</v>
      </c>
      <c r="F4" s="13">
        <v>200</v>
      </c>
      <c r="G4" s="12"/>
      <c r="H4" s="13"/>
      <c r="I4" s="12"/>
      <c r="J4" s="12"/>
      <c r="K4" s="12"/>
      <c r="L4" s="12"/>
      <c r="M4" s="12"/>
      <c r="N4" s="14"/>
      <c r="O4" s="15">
        <f>SUM(E4:N4)</f>
        <v>19486.689999999999</v>
      </c>
      <c r="P4" s="12"/>
      <c r="Q4" s="12"/>
      <c r="R4" s="12"/>
      <c r="S4" s="12">
        <f t="shared" ref="S4:S16" si="0">(E4*0.07)</f>
        <v>1350.0683000000001</v>
      </c>
      <c r="T4" s="12">
        <v>3388.3970879999997</v>
      </c>
      <c r="U4" s="16"/>
      <c r="V4" s="17"/>
      <c r="W4" s="17"/>
      <c r="X4" s="17"/>
      <c r="Y4" s="17"/>
      <c r="Z4" s="17">
        <f t="shared" ref="Z4:Z19" si="1">SUM(P4:Y4)</f>
        <v>4738.4653879999996</v>
      </c>
      <c r="AA4" s="18">
        <f t="shared" ref="AA4:AA19" si="2">+O4-Z4</f>
        <v>14748.224611999998</v>
      </c>
    </row>
    <row r="5" spans="2:27" x14ac:dyDescent="0.25">
      <c r="B5" s="8" t="s">
        <v>87</v>
      </c>
      <c r="C5" s="9" t="s">
        <v>24</v>
      </c>
      <c r="D5" s="10">
        <v>14</v>
      </c>
      <c r="E5" s="11">
        <v>14917.51</v>
      </c>
      <c r="F5" s="13">
        <v>200</v>
      </c>
      <c r="G5" s="20"/>
      <c r="H5" s="13"/>
      <c r="I5" s="20"/>
      <c r="J5" s="20"/>
      <c r="K5" s="20"/>
      <c r="L5" s="20"/>
      <c r="M5" s="20"/>
      <c r="N5" s="21"/>
      <c r="O5" s="15">
        <f t="shared" ref="O5:O19" si="3">SUM(E5:N5)</f>
        <v>15117.51</v>
      </c>
      <c r="P5" s="20"/>
      <c r="Q5" s="20"/>
      <c r="R5" s="20"/>
      <c r="S5" s="12">
        <f t="shared" si="0"/>
        <v>1044.2257000000002</v>
      </c>
      <c r="T5" s="20">
        <v>2373.7416400000002</v>
      </c>
      <c r="U5" s="22"/>
      <c r="V5" s="23"/>
      <c r="W5" s="23"/>
      <c r="X5" s="23"/>
      <c r="Y5" s="23"/>
      <c r="Z5" s="17">
        <f t="shared" si="1"/>
        <v>3417.9673400000001</v>
      </c>
      <c r="AA5" s="18">
        <f t="shared" si="2"/>
        <v>11699.542659999999</v>
      </c>
    </row>
    <row r="6" spans="2:27" x14ac:dyDescent="0.25">
      <c r="B6" s="8" t="s">
        <v>87</v>
      </c>
      <c r="C6" s="9" t="s">
        <v>25</v>
      </c>
      <c r="D6" s="10">
        <v>14</v>
      </c>
      <c r="E6" s="11">
        <v>14917.51</v>
      </c>
      <c r="F6" s="13">
        <v>200</v>
      </c>
      <c r="G6" s="20"/>
      <c r="H6" s="13"/>
      <c r="I6" s="20"/>
      <c r="J6" s="20"/>
      <c r="K6" s="20"/>
      <c r="L6" s="20"/>
      <c r="M6" s="20"/>
      <c r="N6" s="21"/>
      <c r="O6" s="15">
        <f t="shared" si="3"/>
        <v>15117.51</v>
      </c>
      <c r="P6" s="20"/>
      <c r="Q6" s="20"/>
      <c r="R6" s="20"/>
      <c r="S6" s="12">
        <f t="shared" si="0"/>
        <v>1044.2257000000002</v>
      </c>
      <c r="T6" s="20">
        <v>2373.7416400000002</v>
      </c>
      <c r="U6" s="22"/>
      <c r="V6" s="23"/>
      <c r="W6" s="23"/>
      <c r="X6" s="23"/>
      <c r="Y6" s="23"/>
      <c r="Z6" s="17">
        <f t="shared" si="1"/>
        <v>3417.9673400000001</v>
      </c>
      <c r="AA6" s="18">
        <f t="shared" si="2"/>
        <v>11699.542659999999</v>
      </c>
    </row>
    <row r="7" spans="2:27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13">
        <v>900</v>
      </c>
      <c r="G7" s="13">
        <v>900</v>
      </c>
      <c r="H7" s="13">
        <v>900</v>
      </c>
      <c r="I7" s="13">
        <v>3000</v>
      </c>
      <c r="J7" s="20">
        <v>3341.8</v>
      </c>
      <c r="K7" s="20">
        <v>733</v>
      </c>
      <c r="L7" s="13"/>
      <c r="M7" s="20"/>
      <c r="N7" s="21">
        <f t="shared" ref="N7:N11" si="4">(E7/15)*2</f>
        <v>2002.9466666666667</v>
      </c>
      <c r="O7" s="15">
        <f t="shared" si="3"/>
        <v>26799.846666666665</v>
      </c>
      <c r="P7" s="20"/>
      <c r="Q7" s="20"/>
      <c r="R7" s="20"/>
      <c r="S7" s="12">
        <f t="shared" si="0"/>
        <v>1051.547</v>
      </c>
      <c r="T7" s="51">
        <v>3429.3885280000004</v>
      </c>
      <c r="U7" s="22"/>
      <c r="V7" s="23"/>
      <c r="W7" s="23"/>
      <c r="X7" s="23"/>
      <c r="Y7" s="23"/>
      <c r="Z7" s="17">
        <f t="shared" si="1"/>
        <v>4480.935528</v>
      </c>
      <c r="AA7" s="18">
        <f t="shared" si="2"/>
        <v>22318.911138666663</v>
      </c>
    </row>
    <row r="8" spans="2:27" ht="15" customHeight="1" x14ac:dyDescent="0.25">
      <c r="B8" s="8" t="s">
        <v>88</v>
      </c>
      <c r="C8" s="9" t="s">
        <v>28</v>
      </c>
      <c r="D8" s="10">
        <v>13</v>
      </c>
      <c r="E8" s="11">
        <v>15022.1</v>
      </c>
      <c r="F8" s="13">
        <v>900</v>
      </c>
      <c r="G8" s="13">
        <v>900</v>
      </c>
      <c r="H8" s="13">
        <v>900</v>
      </c>
      <c r="I8" s="13">
        <v>3000</v>
      </c>
      <c r="J8" s="20">
        <v>3341.8</v>
      </c>
      <c r="K8" s="20">
        <v>733</v>
      </c>
      <c r="L8" s="13"/>
      <c r="M8" s="20"/>
      <c r="N8" s="21"/>
      <c r="O8" s="15">
        <f t="shared" si="3"/>
        <v>24796.899999999998</v>
      </c>
      <c r="P8" s="20"/>
      <c r="Q8" s="20"/>
      <c r="R8" s="20"/>
      <c r="S8" s="12">
        <f t="shared" si="0"/>
        <v>1051.547</v>
      </c>
      <c r="T8" s="20">
        <v>3193.8419999999996</v>
      </c>
      <c r="U8" s="22"/>
      <c r="V8" s="23"/>
      <c r="W8" s="23"/>
      <c r="X8" s="23"/>
      <c r="Y8" s="23"/>
      <c r="Z8" s="17">
        <f t="shared" si="1"/>
        <v>4245.3889999999992</v>
      </c>
      <c r="AA8" s="18">
        <f t="shared" si="2"/>
        <v>20551.510999999999</v>
      </c>
    </row>
    <row r="9" spans="2:27" ht="15" customHeight="1" x14ac:dyDescent="0.25">
      <c r="B9" s="8" t="s">
        <v>89</v>
      </c>
      <c r="C9" s="9" t="s">
        <v>30</v>
      </c>
      <c r="D9" s="10">
        <v>10</v>
      </c>
      <c r="E9" s="11">
        <v>15424.35954953621</v>
      </c>
      <c r="F9" s="13">
        <v>1100</v>
      </c>
      <c r="G9" s="13">
        <v>1133</v>
      </c>
      <c r="H9" s="13">
        <v>1140</v>
      </c>
      <c r="I9" s="13">
        <v>1150</v>
      </c>
      <c r="J9" s="20">
        <v>1934.8</v>
      </c>
      <c r="K9" s="20">
        <v>787</v>
      </c>
      <c r="L9" s="13"/>
      <c r="M9" s="20">
        <v>945</v>
      </c>
      <c r="N9" s="21">
        <f t="shared" si="4"/>
        <v>2056.5812732714944</v>
      </c>
      <c r="O9" s="15">
        <f t="shared" si="3"/>
        <v>25670.740822807704</v>
      </c>
      <c r="P9" s="20"/>
      <c r="Q9" s="20"/>
      <c r="R9" s="20">
        <f t="shared" ref="R9:R16" si="5">(E9*0.07)</f>
        <v>1079.7051684675348</v>
      </c>
      <c r="S9" s="12">
        <f t="shared" si="0"/>
        <v>1079.7051684675348</v>
      </c>
      <c r="T9" s="20">
        <v>3264.7666037876443</v>
      </c>
      <c r="U9" s="22"/>
      <c r="V9" s="23"/>
      <c r="W9" s="23"/>
      <c r="X9" s="23"/>
      <c r="Y9" s="23"/>
      <c r="Z9" s="17">
        <f t="shared" si="1"/>
        <v>5424.1769407227139</v>
      </c>
      <c r="AA9" s="18">
        <f t="shared" si="2"/>
        <v>20246.563882084989</v>
      </c>
    </row>
    <row r="10" spans="2:27" ht="15" customHeight="1" x14ac:dyDescent="0.25">
      <c r="B10" s="8" t="s">
        <v>89</v>
      </c>
      <c r="C10" s="9" t="s">
        <v>31</v>
      </c>
      <c r="D10" s="10">
        <v>8</v>
      </c>
      <c r="E10" s="11">
        <v>13360.854858749999</v>
      </c>
      <c r="F10" s="13">
        <v>1100</v>
      </c>
      <c r="G10" s="13">
        <v>1133</v>
      </c>
      <c r="H10" s="13">
        <v>1140</v>
      </c>
      <c r="I10" s="13">
        <v>1000</v>
      </c>
      <c r="J10" s="12">
        <v>1677.2</v>
      </c>
      <c r="K10" s="12">
        <f>662+100</f>
        <v>762</v>
      </c>
      <c r="L10" s="13">
        <v>325</v>
      </c>
      <c r="M10" s="13">
        <v>838</v>
      </c>
      <c r="N10" s="21">
        <f t="shared" si="4"/>
        <v>1781.4473144999999</v>
      </c>
      <c r="O10" s="15">
        <f t="shared" si="3"/>
        <v>23117.502173249999</v>
      </c>
      <c r="P10" s="20">
        <f t="shared" ref="P10:P15" si="6">(E10*0.01)</f>
        <v>133.6085485875</v>
      </c>
      <c r="Q10" s="20">
        <f>1000</f>
        <v>1000</v>
      </c>
      <c r="R10" s="20">
        <f t="shared" si="5"/>
        <v>935.2598401125</v>
      </c>
      <c r="S10" s="12">
        <f t="shared" si="0"/>
        <v>935.2598401125</v>
      </c>
      <c r="T10" s="20">
        <v>2760.0575869631998</v>
      </c>
      <c r="U10" s="22"/>
      <c r="V10" s="23"/>
      <c r="W10" s="23"/>
      <c r="X10" s="23">
        <f>966.64</f>
        <v>966.64</v>
      </c>
      <c r="Y10" s="23"/>
      <c r="Z10" s="17">
        <f t="shared" si="1"/>
        <v>6730.8258157757</v>
      </c>
      <c r="AA10" s="18">
        <f t="shared" si="2"/>
        <v>16386.676357474298</v>
      </c>
    </row>
    <row r="11" spans="2:27" x14ac:dyDescent="0.25">
      <c r="B11" s="8" t="s">
        <v>89</v>
      </c>
      <c r="C11" s="25" t="s">
        <v>33</v>
      </c>
      <c r="D11" s="26">
        <v>7</v>
      </c>
      <c r="E11" s="11">
        <v>12482.481170250001</v>
      </c>
      <c r="F11" s="13">
        <v>1100</v>
      </c>
      <c r="G11" s="13">
        <v>1133</v>
      </c>
      <c r="H11" s="13">
        <v>1140</v>
      </c>
      <c r="I11" s="13"/>
      <c r="J11" s="12">
        <v>1565.2</v>
      </c>
      <c r="K11" s="12">
        <f>651+100</f>
        <v>751</v>
      </c>
      <c r="L11" s="20"/>
      <c r="M11" s="20">
        <v>793</v>
      </c>
      <c r="N11" s="21">
        <f t="shared" si="4"/>
        <v>1664.3308227000002</v>
      </c>
      <c r="O11" s="15">
        <f t="shared" si="3"/>
        <v>20629.011992950003</v>
      </c>
      <c r="P11" s="20">
        <f t="shared" si="6"/>
        <v>124.82481170250001</v>
      </c>
      <c r="Q11" s="20"/>
      <c r="R11" s="20">
        <f t="shared" si="5"/>
        <v>873.7736819175002</v>
      </c>
      <c r="S11" s="12">
        <f t="shared" si="0"/>
        <v>873.7736819175002</v>
      </c>
      <c r="T11" s="20">
        <v>2342.0725738297606</v>
      </c>
      <c r="U11" s="22"/>
      <c r="V11" s="23"/>
      <c r="W11" s="22">
        <v>3895.6</v>
      </c>
      <c r="X11" s="22"/>
      <c r="Y11" s="22"/>
      <c r="Z11" s="17">
        <f t="shared" si="1"/>
        <v>8110.0447493672618</v>
      </c>
      <c r="AA11" s="18">
        <f t="shared" si="2"/>
        <v>12518.967243582742</v>
      </c>
    </row>
    <row r="12" spans="2:27" x14ac:dyDescent="0.25">
      <c r="B12" s="8" t="s">
        <v>89</v>
      </c>
      <c r="C12" s="9" t="s">
        <v>35</v>
      </c>
      <c r="D12" s="10">
        <v>5</v>
      </c>
      <c r="E12" s="11">
        <v>10948.878517500001</v>
      </c>
      <c r="F12" s="13">
        <v>1100</v>
      </c>
      <c r="G12" s="13">
        <v>1133</v>
      </c>
      <c r="H12" s="13">
        <v>1140</v>
      </c>
      <c r="I12" s="13"/>
      <c r="J12" s="13">
        <v>1241.8</v>
      </c>
      <c r="K12" s="13">
        <f>632+100</f>
        <v>732</v>
      </c>
      <c r="L12" s="13">
        <v>150</v>
      </c>
      <c r="M12" s="20">
        <v>713</v>
      </c>
      <c r="N12" s="21">
        <f t="shared" ref="N12:N16" si="7">(E12/15)*2</f>
        <v>1459.8504690000002</v>
      </c>
      <c r="O12" s="15">
        <f t="shared" si="3"/>
        <v>18618.528986500001</v>
      </c>
      <c r="P12" s="20">
        <f t="shared" si="6"/>
        <v>109.48878517500002</v>
      </c>
      <c r="Q12" s="20">
        <f>500</f>
        <v>500</v>
      </c>
      <c r="R12" s="20">
        <f t="shared" si="5"/>
        <v>766.42149622500017</v>
      </c>
      <c r="S12" s="12">
        <f t="shared" si="0"/>
        <v>766.42149622500017</v>
      </c>
      <c r="T12" s="20">
        <v>1979.5842254272006</v>
      </c>
      <c r="U12" s="22"/>
      <c r="V12" s="23"/>
      <c r="W12" s="23"/>
      <c r="X12" s="23"/>
      <c r="Y12" s="23"/>
      <c r="Z12" s="17">
        <f t="shared" si="1"/>
        <v>4121.9160030522016</v>
      </c>
      <c r="AA12" s="18">
        <f t="shared" si="2"/>
        <v>14496.6129834478</v>
      </c>
    </row>
    <row r="13" spans="2:27" x14ac:dyDescent="0.25">
      <c r="B13" s="8" t="s">
        <v>89</v>
      </c>
      <c r="C13" s="9" t="s">
        <v>36</v>
      </c>
      <c r="D13" s="10">
        <v>4</v>
      </c>
      <c r="E13" s="11">
        <v>9610.9981694999988</v>
      </c>
      <c r="F13" s="13">
        <v>1100</v>
      </c>
      <c r="G13" s="13">
        <v>1133</v>
      </c>
      <c r="H13" s="13">
        <v>1140</v>
      </c>
      <c r="I13" s="13"/>
      <c r="J13" s="13">
        <v>845.6</v>
      </c>
      <c r="K13" s="13">
        <f>615+100</f>
        <v>715</v>
      </c>
      <c r="L13" s="13">
        <v>150</v>
      </c>
      <c r="M13" s="20">
        <v>644</v>
      </c>
      <c r="N13" s="21"/>
      <c r="O13" s="15">
        <f t="shared" si="3"/>
        <v>15338.598169499999</v>
      </c>
      <c r="P13" s="20">
        <f t="shared" si="6"/>
        <v>96.109981694999988</v>
      </c>
      <c r="Q13" s="20"/>
      <c r="R13" s="20">
        <f t="shared" si="5"/>
        <v>672.76987186500003</v>
      </c>
      <c r="S13" s="12">
        <f t="shared" si="0"/>
        <v>672.76987186500003</v>
      </c>
      <c r="T13" s="20">
        <v>1486.4019930051998</v>
      </c>
      <c r="U13" s="22"/>
      <c r="V13" s="23"/>
      <c r="W13" s="23"/>
      <c r="X13" s="23"/>
      <c r="Y13" s="23"/>
      <c r="Z13" s="17">
        <f t="shared" si="1"/>
        <v>2928.0517184301998</v>
      </c>
      <c r="AA13" s="18">
        <f t="shared" si="2"/>
        <v>12410.5464510698</v>
      </c>
    </row>
    <row r="14" spans="2:27" x14ac:dyDescent="0.25">
      <c r="B14" s="8" t="s">
        <v>89</v>
      </c>
      <c r="C14" s="9" t="s">
        <v>37</v>
      </c>
      <c r="D14" s="10">
        <v>4</v>
      </c>
      <c r="E14" s="11">
        <v>9610.9981694999988</v>
      </c>
      <c r="F14" s="13">
        <v>1100</v>
      </c>
      <c r="G14" s="13">
        <v>1133</v>
      </c>
      <c r="H14" s="13">
        <v>1140</v>
      </c>
      <c r="I14" s="13"/>
      <c r="J14" s="13">
        <v>845.6</v>
      </c>
      <c r="K14" s="13">
        <f>615+100</f>
        <v>715</v>
      </c>
      <c r="L14" s="13">
        <v>150</v>
      </c>
      <c r="M14" s="20">
        <v>644</v>
      </c>
      <c r="N14" s="21">
        <f t="shared" si="7"/>
        <v>1281.4664225999998</v>
      </c>
      <c r="O14" s="15">
        <f t="shared" si="3"/>
        <v>16620.0645921</v>
      </c>
      <c r="P14" s="20">
        <f t="shared" si="6"/>
        <v>96.109981694999988</v>
      </c>
      <c r="Q14" s="20">
        <f>500</f>
        <v>500</v>
      </c>
      <c r="R14" s="20">
        <f t="shared" si="5"/>
        <v>672.76987186500003</v>
      </c>
      <c r="S14" s="12">
        <f t="shared" si="0"/>
        <v>672.76987186500003</v>
      </c>
      <c r="T14" s="20">
        <v>1623.2626069388796</v>
      </c>
      <c r="U14" s="22"/>
      <c r="V14" s="23"/>
      <c r="W14" s="23"/>
      <c r="X14" s="23"/>
      <c r="Y14" s="23"/>
      <c r="Z14" s="17">
        <f t="shared" si="1"/>
        <v>3564.9123323638796</v>
      </c>
      <c r="AA14" s="18">
        <f t="shared" si="2"/>
        <v>13055.15225973612</v>
      </c>
    </row>
    <row r="15" spans="2:27" x14ac:dyDescent="0.25">
      <c r="B15" s="8" t="s">
        <v>89</v>
      </c>
      <c r="C15" s="9" t="s">
        <v>39</v>
      </c>
      <c r="D15" s="10">
        <v>2</v>
      </c>
      <c r="E15" s="11">
        <v>8024.8779607499991</v>
      </c>
      <c r="F15" s="13">
        <v>1100</v>
      </c>
      <c r="G15" s="13">
        <v>1133</v>
      </c>
      <c r="H15" s="13">
        <v>1140</v>
      </c>
      <c r="I15" s="13"/>
      <c r="J15" s="13">
        <v>704.2</v>
      </c>
      <c r="K15" s="13">
        <f>595+100</f>
        <v>695</v>
      </c>
      <c r="L15" s="13">
        <v>150</v>
      </c>
      <c r="M15" s="20">
        <v>561</v>
      </c>
      <c r="N15" s="21">
        <f t="shared" si="7"/>
        <v>1069.9837280999998</v>
      </c>
      <c r="O15" s="15">
        <f t="shared" si="3"/>
        <v>14578.061688850001</v>
      </c>
      <c r="P15" s="20">
        <f t="shared" si="6"/>
        <v>80.248779607499998</v>
      </c>
      <c r="Q15" s="20">
        <f>500</f>
        <v>500</v>
      </c>
      <c r="R15" s="20">
        <f t="shared" si="5"/>
        <v>561.74145725250003</v>
      </c>
      <c r="S15" s="12">
        <f t="shared" si="0"/>
        <v>561.74145725250003</v>
      </c>
      <c r="T15" s="20">
        <v>1235.7790585772798</v>
      </c>
      <c r="U15" s="22"/>
      <c r="V15" s="23"/>
      <c r="W15" s="23"/>
      <c r="X15" s="23">
        <f>966.64</f>
        <v>966.64</v>
      </c>
      <c r="Y15" s="23">
        <f>1933.28</f>
        <v>1933.28</v>
      </c>
      <c r="Z15" s="17">
        <f t="shared" si="1"/>
        <v>5839.4307526897801</v>
      </c>
      <c r="AA15" s="18">
        <f t="shared" si="2"/>
        <v>8738.6309361602216</v>
      </c>
    </row>
    <row r="16" spans="2:27" ht="22.5" x14ac:dyDescent="0.25">
      <c r="B16" s="8" t="s">
        <v>89</v>
      </c>
      <c r="C16" s="9" t="s">
        <v>41</v>
      </c>
      <c r="D16" s="10">
        <v>1</v>
      </c>
      <c r="E16" s="11">
        <v>7531.9769857499987</v>
      </c>
      <c r="F16" s="13">
        <v>1100</v>
      </c>
      <c r="G16" s="13">
        <v>1133</v>
      </c>
      <c r="H16" s="13">
        <v>1140</v>
      </c>
      <c r="I16" s="13"/>
      <c r="J16" s="13">
        <v>658</v>
      </c>
      <c r="K16" s="13">
        <f>589+100</f>
        <v>689</v>
      </c>
      <c r="L16" s="13">
        <v>150</v>
      </c>
      <c r="M16" s="20">
        <v>536</v>
      </c>
      <c r="N16" s="21">
        <f t="shared" si="7"/>
        <v>1004.2635980999999</v>
      </c>
      <c r="O16" s="15">
        <f t="shared" si="3"/>
        <v>13942.24058385</v>
      </c>
      <c r="P16" s="20"/>
      <c r="Q16" s="20"/>
      <c r="R16" s="20">
        <f t="shared" si="5"/>
        <v>527.23838900249996</v>
      </c>
      <c r="S16" s="12">
        <f t="shared" si="0"/>
        <v>527.23838900249996</v>
      </c>
      <c r="T16" s="20">
        <v>1115.2315404332799</v>
      </c>
      <c r="U16" s="22"/>
      <c r="V16" s="23"/>
      <c r="W16" s="23">
        <v>2735.66</v>
      </c>
      <c r="X16" s="23"/>
      <c r="Y16" s="23"/>
      <c r="Z16" s="17">
        <f t="shared" si="1"/>
        <v>4905.3683184382799</v>
      </c>
      <c r="AA16" s="18">
        <f t="shared" si="2"/>
        <v>9036.8722654117191</v>
      </c>
    </row>
    <row r="17" spans="2:28" ht="22.5" x14ac:dyDescent="0.25">
      <c r="B17" s="8" t="s">
        <v>90</v>
      </c>
      <c r="C17" s="9" t="s">
        <v>42</v>
      </c>
      <c r="D17" s="10"/>
      <c r="E17" s="11">
        <v>6069.96</v>
      </c>
      <c r="F17" s="27"/>
      <c r="G17" s="27"/>
      <c r="H17" s="27"/>
      <c r="I17" s="27"/>
      <c r="J17" s="28"/>
      <c r="K17" s="28"/>
      <c r="L17" s="27"/>
      <c r="M17" s="28"/>
      <c r="N17" s="29"/>
      <c r="O17" s="15">
        <f t="shared" si="3"/>
        <v>6069.96</v>
      </c>
      <c r="P17" s="20"/>
      <c r="Q17" s="28"/>
      <c r="R17" s="28"/>
      <c r="S17" s="12"/>
      <c r="T17" s="20">
        <v>527.76699999999994</v>
      </c>
      <c r="U17" s="22"/>
      <c r="V17" s="23"/>
      <c r="W17" s="23"/>
      <c r="X17" s="23"/>
      <c r="Y17" s="23"/>
      <c r="Z17" s="17">
        <f t="shared" si="1"/>
        <v>527.76699999999994</v>
      </c>
      <c r="AA17" s="18">
        <f t="shared" si="2"/>
        <v>5542.1930000000002</v>
      </c>
    </row>
    <row r="18" spans="2:28" x14ac:dyDescent="0.25">
      <c r="B18" s="8" t="s">
        <v>90</v>
      </c>
      <c r="C18" s="25" t="s">
        <v>43</v>
      </c>
      <c r="D18" s="31"/>
      <c r="E18" s="32">
        <v>3018.5</v>
      </c>
      <c r="F18" s="27"/>
      <c r="G18" s="27"/>
      <c r="H18" s="27"/>
      <c r="I18" s="27"/>
      <c r="J18" s="28"/>
      <c r="K18" s="28"/>
      <c r="L18" s="27"/>
      <c r="M18" s="28"/>
      <c r="N18" s="28"/>
      <c r="O18" s="15">
        <f t="shared" si="3"/>
        <v>3018.5</v>
      </c>
      <c r="P18" s="20"/>
      <c r="Q18" s="28"/>
      <c r="R18" s="28"/>
      <c r="S18" s="12"/>
      <c r="T18" s="20">
        <v>176.47039999999998</v>
      </c>
      <c r="U18" s="22"/>
      <c r="V18" s="23"/>
      <c r="W18" s="23"/>
      <c r="X18" s="23"/>
      <c r="Y18" s="23"/>
      <c r="Z18" s="17">
        <f t="shared" si="1"/>
        <v>176.47039999999998</v>
      </c>
      <c r="AA18" s="18">
        <f t="shared" si="2"/>
        <v>2842.0295999999998</v>
      </c>
    </row>
    <row r="19" spans="2:28" x14ac:dyDescent="0.25">
      <c r="B19" s="8" t="s">
        <v>44</v>
      </c>
      <c r="C19" s="25" t="s">
        <v>45</v>
      </c>
      <c r="D19" s="31"/>
      <c r="E19" s="32">
        <f>24876/2</f>
        <v>12438</v>
      </c>
      <c r="F19" s="27"/>
      <c r="G19" s="27"/>
      <c r="H19" s="27"/>
      <c r="I19" s="27"/>
      <c r="J19" s="28"/>
      <c r="K19" s="28"/>
      <c r="L19" s="27"/>
      <c r="M19" s="28"/>
      <c r="N19" s="28"/>
      <c r="O19" s="15">
        <f t="shared" si="3"/>
        <v>12438</v>
      </c>
      <c r="P19" s="28"/>
      <c r="Q19" s="28"/>
      <c r="R19" s="28"/>
      <c r="S19" s="32"/>
      <c r="T19" s="28">
        <v>1936</v>
      </c>
      <c r="U19" s="33"/>
      <c r="V19" s="34"/>
      <c r="W19" s="34"/>
      <c r="X19" s="34"/>
      <c r="Y19" s="34"/>
      <c r="Z19" s="17">
        <f t="shared" si="1"/>
        <v>1936</v>
      </c>
      <c r="AA19" s="18">
        <f t="shared" si="2"/>
        <v>10502</v>
      </c>
    </row>
    <row r="20" spans="2:28" ht="15.75" thickBot="1" x14ac:dyDescent="0.3">
      <c r="B20" s="35" t="s">
        <v>46</v>
      </c>
      <c r="C20" s="36"/>
      <c r="D20" s="37"/>
      <c r="E20" s="38">
        <f>SUM(E4:E19)</f>
        <v>187687.79538153618</v>
      </c>
      <c r="F20" s="38">
        <f t="shared" ref="F20:O20" si="8">SUM(F4:F19)</f>
        <v>11200</v>
      </c>
      <c r="G20" s="38">
        <f t="shared" si="8"/>
        <v>10864</v>
      </c>
      <c r="H20" s="38">
        <f t="shared" si="8"/>
        <v>10920</v>
      </c>
      <c r="I20" s="38">
        <f t="shared" si="8"/>
        <v>8150</v>
      </c>
      <c r="J20" s="38">
        <f t="shared" si="8"/>
        <v>16156.000000000002</v>
      </c>
      <c r="K20" s="38">
        <f t="shared" si="8"/>
        <v>7312</v>
      </c>
      <c r="L20" s="38">
        <f t="shared" si="8"/>
        <v>1075</v>
      </c>
      <c r="M20" s="38">
        <f t="shared" si="8"/>
        <v>5674</v>
      </c>
      <c r="N20" s="38">
        <f t="shared" si="8"/>
        <v>12320.870294938162</v>
      </c>
      <c r="O20" s="38">
        <f t="shared" si="8"/>
        <v>271359.66567647434</v>
      </c>
      <c r="P20" s="38">
        <f>SUM(P4:P19)</f>
        <v>640.39088846250002</v>
      </c>
      <c r="Q20" s="38">
        <f t="shared" ref="Q20:Z20" si="9">SUM(Q4:Q19)</f>
        <v>2500</v>
      </c>
      <c r="R20" s="38">
        <f t="shared" si="9"/>
        <v>6089.6797767075359</v>
      </c>
      <c r="S20" s="38">
        <f t="shared" si="9"/>
        <v>11631.293476707539</v>
      </c>
      <c r="T20" s="38">
        <f t="shared" si="9"/>
        <v>33206.504484962439</v>
      </c>
      <c r="U20" s="38">
        <f t="shared" si="9"/>
        <v>0</v>
      </c>
      <c r="V20" s="38">
        <f t="shared" si="9"/>
        <v>0</v>
      </c>
      <c r="W20" s="38">
        <f t="shared" si="9"/>
        <v>6631.26</v>
      </c>
      <c r="X20" s="38">
        <f t="shared" si="9"/>
        <v>1933.28</v>
      </c>
      <c r="Y20" s="38">
        <f t="shared" si="9"/>
        <v>1933.28</v>
      </c>
      <c r="Z20" s="38">
        <f t="shared" si="9"/>
        <v>64565.688626840019</v>
      </c>
      <c r="AA20" s="38">
        <f>SUM(AA4:AA19)</f>
        <v>206793.97704963433</v>
      </c>
      <c r="AB20" s="19"/>
    </row>
    <row r="21" spans="2:28" x14ac:dyDescent="0.25"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</row>
    <row r="22" spans="2:28" ht="15" hidden="1" customHeight="1" x14ac:dyDescent="0.25">
      <c r="E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</row>
    <row r="23" spans="2:28" ht="15" hidden="1" customHeight="1" x14ac:dyDescent="0.25">
      <c r="B23" s="41"/>
      <c r="E23" s="40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</row>
    <row r="24" spans="2:28" ht="15" hidden="1" customHeight="1" x14ac:dyDescent="0.25">
      <c r="B24" s="42"/>
      <c r="E24" s="40"/>
    </row>
    <row r="25" spans="2:28" x14ac:dyDescent="0.25">
      <c r="B25" s="42"/>
      <c r="E25" s="40"/>
    </row>
    <row r="26" spans="2:28" x14ac:dyDescent="0.25">
      <c r="B26" s="42"/>
      <c r="E26" s="40"/>
    </row>
    <row r="27" spans="2:28" x14ac:dyDescent="0.25">
      <c r="B27" s="42"/>
      <c r="E27" s="40"/>
    </row>
    <row r="28" spans="2:28" x14ac:dyDescent="0.25">
      <c r="B28" s="42"/>
      <c r="E28" s="40"/>
    </row>
    <row r="29" spans="2:28" x14ac:dyDescent="0.25">
      <c r="B29" t="s">
        <v>87</v>
      </c>
      <c r="C29" t="s">
        <v>91</v>
      </c>
      <c r="E29" s="40"/>
    </row>
    <row r="30" spans="2:28" x14ac:dyDescent="0.25">
      <c r="B30" t="s">
        <v>88</v>
      </c>
      <c r="C30" t="s">
        <v>92</v>
      </c>
    </row>
    <row r="31" spans="2:28" x14ac:dyDescent="0.25">
      <c r="B31" t="s">
        <v>89</v>
      </c>
      <c r="C31" t="s">
        <v>93</v>
      </c>
    </row>
    <row r="32" spans="2:28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" right="0.70866141732283472" top="0" bottom="0" header="0.31496062992125984" footer="0.31496062992125984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"/>
  <sheetViews>
    <sheetView workbookViewId="0">
      <selection activeCell="B29" sqref="B29:C33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9.28515625" bestFit="1" customWidth="1"/>
    <col min="7" max="15" width="8.7109375" customWidth="1"/>
    <col min="16" max="16" width="12.5703125" bestFit="1" customWidth="1"/>
    <col min="17" max="17" width="7.42578125" customWidth="1"/>
    <col min="18" max="19" width="8.7109375" bestFit="1" customWidth="1"/>
    <col min="20" max="20" width="9" customWidth="1"/>
    <col min="21" max="21" width="9.5703125" customWidth="1"/>
    <col min="22" max="22" width="7.85546875" customWidth="1"/>
    <col min="23" max="24" width="8.5703125" customWidth="1"/>
    <col min="25" max="26" width="10.140625" customWidth="1"/>
    <col min="27" max="27" width="9.5703125" customWidth="1"/>
    <col min="28" max="28" width="12.5703125" bestFit="1" customWidth="1"/>
  </cols>
  <sheetData>
    <row r="1" spans="2:28" ht="18.75" x14ac:dyDescent="0.25">
      <c r="E1" s="1"/>
      <c r="F1" s="2" t="s">
        <v>82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8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28" ht="48.75" customHeight="1" x14ac:dyDescent="0.25">
      <c r="B3" s="47"/>
      <c r="C3" s="47" t="s">
        <v>1</v>
      </c>
      <c r="D3" s="4" t="s">
        <v>2</v>
      </c>
      <c r="E3" s="4" t="s">
        <v>3</v>
      </c>
      <c r="F3" s="4" t="s">
        <v>47</v>
      </c>
      <c r="G3" s="4" t="s">
        <v>48</v>
      </c>
      <c r="H3" s="4" t="s">
        <v>49</v>
      </c>
      <c r="I3" s="4" t="s">
        <v>50</v>
      </c>
      <c r="J3" s="4" t="s">
        <v>51</v>
      </c>
      <c r="K3" s="4" t="s">
        <v>52</v>
      </c>
      <c r="L3" s="4" t="s">
        <v>11</v>
      </c>
      <c r="M3" s="4" t="s">
        <v>53</v>
      </c>
      <c r="N3" s="4" t="s">
        <v>54</v>
      </c>
      <c r="O3" s="4" t="s">
        <v>81</v>
      </c>
      <c r="P3" s="48" t="s">
        <v>96</v>
      </c>
      <c r="Q3" s="5" t="s">
        <v>15</v>
      </c>
      <c r="R3" s="5" t="s">
        <v>16</v>
      </c>
      <c r="S3" s="5" t="s">
        <v>17</v>
      </c>
      <c r="T3" s="5" t="s">
        <v>18</v>
      </c>
      <c r="U3" s="5" t="s">
        <v>19</v>
      </c>
      <c r="V3" s="6" t="s">
        <v>20</v>
      </c>
      <c r="W3" s="6" t="s">
        <v>21</v>
      </c>
      <c r="X3" s="7" t="s">
        <v>22</v>
      </c>
      <c r="Y3" s="49" t="s">
        <v>83</v>
      </c>
      <c r="Z3" s="49" t="s">
        <v>84</v>
      </c>
      <c r="AA3" s="49" t="s">
        <v>85</v>
      </c>
      <c r="AB3" s="50" t="s">
        <v>86</v>
      </c>
    </row>
    <row r="4" spans="2:28" x14ac:dyDescent="0.25">
      <c r="B4" s="8" t="s">
        <v>87</v>
      </c>
      <c r="C4" s="9" t="s">
        <v>23</v>
      </c>
      <c r="D4" s="10">
        <v>17</v>
      </c>
      <c r="E4" s="11">
        <v>19286.689999999999</v>
      </c>
      <c r="F4" s="13"/>
      <c r="G4" s="12">
        <v>300</v>
      </c>
      <c r="H4" s="13"/>
      <c r="I4" s="12"/>
      <c r="J4" s="12"/>
      <c r="K4" s="12"/>
      <c r="L4" s="12"/>
      <c r="M4" s="12"/>
      <c r="N4" s="12"/>
      <c r="O4" s="14"/>
      <c r="P4" s="15">
        <f>SUM(E4:O4)</f>
        <v>19586.689999999999</v>
      </c>
      <c r="Q4" s="12"/>
      <c r="R4" s="12"/>
      <c r="S4" s="12"/>
      <c r="T4" s="12">
        <f>(E4*0.07)</f>
        <v>1350.0683000000001</v>
      </c>
      <c r="U4" s="12">
        <v>3400.1570879999995</v>
      </c>
      <c r="V4" s="16"/>
      <c r="W4" s="17"/>
      <c r="X4" s="17"/>
      <c r="Y4" s="17"/>
      <c r="Z4" s="17"/>
      <c r="AA4" s="17">
        <f t="shared" ref="AA4:AA19" si="0">SUM(Q4:Z4)</f>
        <v>4750.2253879999998</v>
      </c>
      <c r="AB4" s="18">
        <f t="shared" ref="AB4:AB19" si="1">+P4-AA4</f>
        <v>14836.464612</v>
      </c>
    </row>
    <row r="5" spans="2:28" x14ac:dyDescent="0.25">
      <c r="B5" s="8" t="s">
        <v>87</v>
      </c>
      <c r="C5" s="9" t="s">
        <v>24</v>
      </c>
      <c r="D5" s="10">
        <v>14</v>
      </c>
      <c r="E5" s="11">
        <v>14917.51</v>
      </c>
      <c r="F5" s="13"/>
      <c r="G5" s="20">
        <v>300</v>
      </c>
      <c r="H5" s="13"/>
      <c r="I5" s="20"/>
      <c r="J5" s="20"/>
      <c r="K5" s="20"/>
      <c r="L5" s="20"/>
      <c r="M5" s="20"/>
      <c r="N5" s="20"/>
      <c r="O5" s="21"/>
      <c r="P5" s="15">
        <f t="shared" ref="P5:P19" si="2">SUM(E5:O5)</f>
        <v>15217.51</v>
      </c>
      <c r="Q5" s="20"/>
      <c r="R5" s="20"/>
      <c r="S5" s="20"/>
      <c r="T5" s="12">
        <f>(E5*0.07)</f>
        <v>1044.2257000000002</v>
      </c>
      <c r="U5" s="20">
        <v>2384.42164</v>
      </c>
      <c r="V5" s="22"/>
      <c r="W5" s="23"/>
      <c r="X5" s="23"/>
      <c r="Y5" s="23"/>
      <c r="Z5" s="23"/>
      <c r="AA5" s="17">
        <f t="shared" si="0"/>
        <v>3428.6473400000004</v>
      </c>
      <c r="AB5" s="18">
        <f t="shared" si="1"/>
        <v>11788.862659999999</v>
      </c>
    </row>
    <row r="6" spans="2:28" x14ac:dyDescent="0.25">
      <c r="B6" s="8" t="s">
        <v>87</v>
      </c>
      <c r="C6" s="9" t="s">
        <v>25</v>
      </c>
      <c r="D6" s="10">
        <v>14</v>
      </c>
      <c r="E6" s="11">
        <v>14917.51</v>
      </c>
      <c r="F6" s="13"/>
      <c r="G6" s="20">
        <v>300</v>
      </c>
      <c r="H6" s="13"/>
      <c r="I6" s="20"/>
      <c r="J6" s="20"/>
      <c r="K6" s="20"/>
      <c r="L6" s="20"/>
      <c r="M6" s="20"/>
      <c r="N6" s="20"/>
      <c r="O6" s="21"/>
      <c r="P6" s="15">
        <f t="shared" si="2"/>
        <v>15217.51</v>
      </c>
      <c r="Q6" s="20"/>
      <c r="R6" s="20"/>
      <c r="S6" s="20"/>
      <c r="T6" s="12">
        <f>(E6*0.07)</f>
        <v>1044.2257000000002</v>
      </c>
      <c r="U6" s="20">
        <v>2384.42164</v>
      </c>
      <c r="V6" s="22"/>
      <c r="W6" s="23"/>
      <c r="X6" s="23"/>
      <c r="Y6" s="23"/>
      <c r="Z6" s="23"/>
      <c r="AA6" s="17">
        <f t="shared" si="0"/>
        <v>3428.6473400000004</v>
      </c>
      <c r="AB6" s="18">
        <f t="shared" si="1"/>
        <v>11788.862659999999</v>
      </c>
    </row>
    <row r="7" spans="2:28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43">
        <v>900</v>
      </c>
      <c r="G7" s="43">
        <v>900</v>
      </c>
      <c r="H7" s="43">
        <v>900</v>
      </c>
      <c r="I7" s="13">
        <v>1000</v>
      </c>
      <c r="J7" s="20"/>
      <c r="K7" s="20">
        <v>750</v>
      </c>
      <c r="L7" s="13"/>
      <c r="M7" s="20"/>
      <c r="N7" s="20"/>
      <c r="O7" s="21">
        <v>5000</v>
      </c>
      <c r="P7" s="15">
        <f t="shared" si="2"/>
        <v>24472.1</v>
      </c>
      <c r="Q7" s="20"/>
      <c r="R7" s="20"/>
      <c r="S7" s="20"/>
      <c r="T7" s="12">
        <f t="shared" ref="T7:T11" si="3">(E7*0.07)</f>
        <v>1051.547</v>
      </c>
      <c r="U7" s="20">
        <v>3367.3255199999994</v>
      </c>
      <c r="V7" s="22"/>
      <c r="W7" s="23"/>
      <c r="X7" s="23"/>
      <c r="Y7" s="23"/>
      <c r="Z7" s="23"/>
      <c r="AA7" s="17">
        <f t="shared" si="0"/>
        <v>4418.872519999999</v>
      </c>
      <c r="AB7" s="18">
        <f t="shared" si="1"/>
        <v>20053.227480000001</v>
      </c>
    </row>
    <row r="8" spans="2:28" ht="15" customHeight="1" x14ac:dyDescent="0.25">
      <c r="B8" s="8" t="s">
        <v>88</v>
      </c>
      <c r="C8" s="9" t="s">
        <v>28</v>
      </c>
      <c r="D8" s="10">
        <v>13</v>
      </c>
      <c r="E8" s="11">
        <v>15022.1</v>
      </c>
      <c r="F8" s="43">
        <v>900</v>
      </c>
      <c r="G8" s="43">
        <v>900</v>
      </c>
      <c r="H8" s="43">
        <v>900</v>
      </c>
      <c r="I8" s="13">
        <v>1000</v>
      </c>
      <c r="J8" s="20"/>
      <c r="K8" s="20">
        <v>750</v>
      </c>
      <c r="L8" s="13"/>
      <c r="M8" s="20"/>
      <c r="N8" s="20"/>
      <c r="O8" s="21">
        <v>5000</v>
      </c>
      <c r="P8" s="15">
        <f t="shared" si="2"/>
        <v>24472.1</v>
      </c>
      <c r="Q8" s="20"/>
      <c r="R8" s="20"/>
      <c r="S8" s="20"/>
      <c r="T8" s="12">
        <f t="shared" si="3"/>
        <v>1051.547</v>
      </c>
      <c r="U8" s="51">
        <v>3367.3255199999994</v>
      </c>
      <c r="V8" s="22"/>
      <c r="W8" s="23"/>
      <c r="X8" s="23"/>
      <c r="Y8" s="23"/>
      <c r="Z8" s="23"/>
      <c r="AA8" s="17">
        <f t="shared" si="0"/>
        <v>4418.872519999999</v>
      </c>
      <c r="AB8" s="18">
        <f t="shared" si="1"/>
        <v>20053.227480000001</v>
      </c>
    </row>
    <row r="9" spans="2:28" ht="15" customHeight="1" x14ac:dyDescent="0.25">
      <c r="B9" s="8" t="s">
        <v>89</v>
      </c>
      <c r="C9" s="9" t="s">
        <v>30</v>
      </c>
      <c r="D9" s="10">
        <v>10</v>
      </c>
      <c r="E9" s="11">
        <v>15424.35954953621</v>
      </c>
      <c r="F9" s="13">
        <v>1133</v>
      </c>
      <c r="G9" s="13">
        <v>1133</v>
      </c>
      <c r="H9" s="13">
        <v>1133</v>
      </c>
      <c r="I9" s="13">
        <v>1000</v>
      </c>
      <c r="J9" s="20"/>
      <c r="K9" s="20">
        <v>606</v>
      </c>
      <c r="L9" s="13"/>
      <c r="M9" s="20">
        <v>999</v>
      </c>
      <c r="N9" s="20"/>
      <c r="O9" s="21">
        <f>7210+400</f>
        <v>7610</v>
      </c>
      <c r="P9" s="15">
        <f t="shared" si="2"/>
        <v>29038.35954953621</v>
      </c>
      <c r="Q9" s="20"/>
      <c r="R9" s="20"/>
      <c r="S9" s="20">
        <f t="shared" ref="S9:S16" si="4">(E9*0.07)</f>
        <v>1079.7051684675348</v>
      </c>
      <c r="T9" s="12">
        <f t="shared" si="3"/>
        <v>1079.7051684675348</v>
      </c>
      <c r="U9" s="20">
        <v>3924.2225660509166</v>
      </c>
      <c r="V9" s="22"/>
      <c r="W9" s="23"/>
      <c r="X9" s="23"/>
      <c r="Y9" s="23"/>
      <c r="Z9" s="23"/>
      <c r="AA9" s="17">
        <f t="shared" si="0"/>
        <v>6083.6329029859862</v>
      </c>
      <c r="AB9" s="18">
        <f t="shared" si="1"/>
        <v>22954.726646550225</v>
      </c>
    </row>
    <row r="10" spans="2:28" ht="15" customHeight="1" x14ac:dyDescent="0.25">
      <c r="B10" s="8" t="s">
        <v>89</v>
      </c>
      <c r="C10" s="9" t="s">
        <v>31</v>
      </c>
      <c r="D10" s="10">
        <v>8</v>
      </c>
      <c r="E10" s="11">
        <v>13360.854858749999</v>
      </c>
      <c r="F10" s="13">
        <v>1133</v>
      </c>
      <c r="G10" s="13">
        <v>1133</v>
      </c>
      <c r="H10" s="13">
        <v>1133</v>
      </c>
      <c r="I10" s="13">
        <v>1000</v>
      </c>
      <c r="J10" s="12"/>
      <c r="K10" s="20">
        <v>525</v>
      </c>
      <c r="L10" s="13">
        <v>325</v>
      </c>
      <c r="M10" s="13">
        <v>925</v>
      </c>
      <c r="N10" s="13"/>
      <c r="O10" s="21">
        <f t="shared" ref="O10:O16" si="5">7210+400</f>
        <v>7610</v>
      </c>
      <c r="P10" s="15">
        <f t="shared" si="2"/>
        <v>27144.854858749997</v>
      </c>
      <c r="Q10" s="20">
        <f t="shared" ref="Q10:Q15" si="6">(E10*0.01)</f>
        <v>133.6085485875</v>
      </c>
      <c r="R10" s="20">
        <f>1000</f>
        <v>1000</v>
      </c>
      <c r="S10" s="20">
        <f t="shared" si="4"/>
        <v>935.2598401125</v>
      </c>
      <c r="T10" s="12">
        <f t="shared" si="3"/>
        <v>935.2598401125</v>
      </c>
      <c r="U10" s="20">
        <v>3497.0982627779995</v>
      </c>
      <c r="V10" s="22"/>
      <c r="W10" s="23"/>
      <c r="X10" s="23"/>
      <c r="Y10" s="23">
        <f>966.64</f>
        <v>966.64</v>
      </c>
      <c r="Z10" s="23"/>
      <c r="AA10" s="17">
        <f t="shared" si="0"/>
        <v>7467.8664915905001</v>
      </c>
      <c r="AB10" s="18">
        <f t="shared" si="1"/>
        <v>19676.988367159498</v>
      </c>
    </row>
    <row r="11" spans="2:28" x14ac:dyDescent="0.25">
      <c r="B11" s="8" t="s">
        <v>89</v>
      </c>
      <c r="C11" s="25" t="s">
        <v>33</v>
      </c>
      <c r="D11" s="26">
        <v>7</v>
      </c>
      <c r="E11" s="11">
        <v>12482.481170250001</v>
      </c>
      <c r="F11" s="13">
        <v>1133</v>
      </c>
      <c r="G11" s="13">
        <v>1133</v>
      </c>
      <c r="H11" s="13">
        <v>1133</v>
      </c>
      <c r="I11" s="13">
        <v>1000</v>
      </c>
      <c r="J11" s="12">
        <v>295</v>
      </c>
      <c r="K11" s="20">
        <v>491</v>
      </c>
      <c r="L11" s="20"/>
      <c r="M11" s="20">
        <v>893</v>
      </c>
      <c r="N11" s="20">
        <v>800</v>
      </c>
      <c r="O11" s="21">
        <f t="shared" si="5"/>
        <v>7610</v>
      </c>
      <c r="P11" s="15">
        <f t="shared" si="2"/>
        <v>26970.481170250001</v>
      </c>
      <c r="Q11" s="20">
        <f t="shared" si="6"/>
        <v>124.82481170250001</v>
      </c>
      <c r="R11" s="20"/>
      <c r="S11" s="20">
        <f t="shared" si="4"/>
        <v>873.7736819175002</v>
      </c>
      <c r="T11" s="12">
        <f t="shared" si="3"/>
        <v>873.7736819175002</v>
      </c>
      <c r="U11" s="20">
        <v>3335.0751712428</v>
      </c>
      <c r="V11" s="22"/>
      <c r="W11" s="23"/>
      <c r="X11" s="22">
        <v>3895.6</v>
      </c>
      <c r="Y11" s="22"/>
      <c r="Z11" s="22"/>
      <c r="AA11" s="17">
        <f t="shared" si="0"/>
        <v>9103.0473467803004</v>
      </c>
      <c r="AB11" s="18">
        <f t="shared" si="1"/>
        <v>17867.433823469699</v>
      </c>
    </row>
    <row r="12" spans="2:28" x14ac:dyDescent="0.25">
      <c r="B12" s="8" t="s">
        <v>89</v>
      </c>
      <c r="C12" s="9" t="s">
        <v>35</v>
      </c>
      <c r="D12" s="10">
        <v>5</v>
      </c>
      <c r="E12" s="11">
        <v>10948.878517500001</v>
      </c>
      <c r="F12" s="13">
        <v>1133</v>
      </c>
      <c r="G12" s="13">
        <v>1133</v>
      </c>
      <c r="H12" s="13">
        <v>1133</v>
      </c>
      <c r="I12" s="13">
        <v>1000</v>
      </c>
      <c r="J12" s="13">
        <v>260</v>
      </c>
      <c r="K12" s="20"/>
      <c r="L12" s="13">
        <v>150</v>
      </c>
      <c r="M12" s="20">
        <v>838</v>
      </c>
      <c r="N12" s="20"/>
      <c r="O12" s="21">
        <f t="shared" si="5"/>
        <v>7610</v>
      </c>
      <c r="P12" s="15">
        <f t="shared" si="2"/>
        <v>24205.878517500001</v>
      </c>
      <c r="Q12" s="20">
        <f t="shared" si="6"/>
        <v>109.48878517500002</v>
      </c>
      <c r="R12" s="20">
        <f>500</f>
        <v>500</v>
      </c>
      <c r="S12" s="20">
        <f t="shared" si="4"/>
        <v>766.42149622500017</v>
      </c>
      <c r="T12" s="12">
        <f>(E12*0.07)</f>
        <v>766.42149622500017</v>
      </c>
      <c r="U12" s="20">
        <v>2847.2462273160004</v>
      </c>
      <c r="V12" s="22"/>
      <c r="W12" s="23"/>
      <c r="X12" s="23"/>
      <c r="Y12" s="23"/>
      <c r="Z12" s="23"/>
      <c r="AA12" s="17">
        <f t="shared" si="0"/>
        <v>4989.5780049410005</v>
      </c>
      <c r="AB12" s="18">
        <f t="shared" si="1"/>
        <v>19216.300512558999</v>
      </c>
    </row>
    <row r="13" spans="2:28" x14ac:dyDescent="0.25">
      <c r="B13" s="8" t="s">
        <v>89</v>
      </c>
      <c r="C13" s="9" t="s">
        <v>36</v>
      </c>
      <c r="D13" s="10">
        <v>4</v>
      </c>
      <c r="E13" s="11">
        <v>9610.9981694999988</v>
      </c>
      <c r="F13" s="13">
        <v>1133</v>
      </c>
      <c r="G13" s="13">
        <v>1133</v>
      </c>
      <c r="H13" s="13">
        <v>1133</v>
      </c>
      <c r="I13" s="13">
        <v>1000</v>
      </c>
      <c r="J13" s="13">
        <v>230</v>
      </c>
      <c r="K13" s="20"/>
      <c r="L13" s="13">
        <v>150</v>
      </c>
      <c r="M13" s="20">
        <v>790</v>
      </c>
      <c r="N13" s="20"/>
      <c r="O13" s="21">
        <f t="shared" si="5"/>
        <v>7610</v>
      </c>
      <c r="P13" s="15">
        <f t="shared" si="2"/>
        <v>22789.998169499999</v>
      </c>
      <c r="Q13" s="20">
        <f t="shared" si="6"/>
        <v>96.109981694999988</v>
      </c>
      <c r="R13" s="20"/>
      <c r="S13" s="20">
        <f t="shared" si="4"/>
        <v>672.76987186500003</v>
      </c>
      <c r="T13" s="12">
        <f>(E13*0.07)</f>
        <v>672.76987186500003</v>
      </c>
      <c r="U13" s="20">
        <v>2523.4039694663998</v>
      </c>
      <c r="V13" s="22"/>
      <c r="W13" s="23"/>
      <c r="X13" s="23"/>
      <c r="Y13" s="23"/>
      <c r="Z13" s="23"/>
      <c r="AA13" s="17">
        <f t="shared" si="0"/>
        <v>3965.0536948913996</v>
      </c>
      <c r="AB13" s="18">
        <f t="shared" si="1"/>
        <v>18824.944474608601</v>
      </c>
    </row>
    <row r="14" spans="2:28" x14ac:dyDescent="0.25">
      <c r="B14" s="8" t="s">
        <v>89</v>
      </c>
      <c r="C14" s="9" t="s">
        <v>37</v>
      </c>
      <c r="D14" s="10">
        <v>4</v>
      </c>
      <c r="E14" s="11">
        <v>9610.9981694999988</v>
      </c>
      <c r="F14" s="13">
        <v>1133</v>
      </c>
      <c r="G14" s="13">
        <v>1133</v>
      </c>
      <c r="H14" s="13">
        <v>1133</v>
      </c>
      <c r="I14" s="13">
        <v>1000</v>
      </c>
      <c r="J14" s="13">
        <v>230</v>
      </c>
      <c r="K14" s="20"/>
      <c r="L14" s="13">
        <v>150</v>
      </c>
      <c r="M14" s="20">
        <v>790</v>
      </c>
      <c r="N14" s="20"/>
      <c r="O14" s="21">
        <f t="shared" si="5"/>
        <v>7610</v>
      </c>
      <c r="P14" s="15">
        <f t="shared" si="2"/>
        <v>22789.998169499999</v>
      </c>
      <c r="Q14" s="20">
        <f t="shared" si="6"/>
        <v>96.109981694999988</v>
      </c>
      <c r="R14" s="20">
        <f>500</f>
        <v>500</v>
      </c>
      <c r="S14" s="20">
        <f t="shared" si="4"/>
        <v>672.76987186500003</v>
      </c>
      <c r="T14" s="12">
        <f>(E14*0.07)</f>
        <v>672.76987186500003</v>
      </c>
      <c r="U14" s="20">
        <v>2523.4039694663998</v>
      </c>
      <c r="V14" s="22"/>
      <c r="W14" s="23"/>
      <c r="X14" s="23"/>
      <c r="Y14" s="23"/>
      <c r="Z14" s="23"/>
      <c r="AA14" s="17">
        <f t="shared" si="0"/>
        <v>4465.0536948913996</v>
      </c>
      <c r="AB14" s="18">
        <f t="shared" si="1"/>
        <v>18324.944474608601</v>
      </c>
    </row>
    <row r="15" spans="2:28" x14ac:dyDescent="0.25">
      <c r="B15" s="8" t="s">
        <v>89</v>
      </c>
      <c r="C15" s="9" t="s">
        <v>39</v>
      </c>
      <c r="D15" s="10">
        <v>2</v>
      </c>
      <c r="E15" s="11">
        <v>8024.8779607499991</v>
      </c>
      <c r="F15" s="13">
        <v>1133</v>
      </c>
      <c r="G15" s="13">
        <v>1133</v>
      </c>
      <c r="H15" s="13">
        <v>1133</v>
      </c>
      <c r="I15" s="13">
        <v>1000</v>
      </c>
      <c r="J15" s="13">
        <v>190</v>
      </c>
      <c r="K15" s="20"/>
      <c r="L15" s="13">
        <v>150</v>
      </c>
      <c r="M15" s="20">
        <v>733</v>
      </c>
      <c r="N15" s="20"/>
      <c r="O15" s="21">
        <f t="shared" si="5"/>
        <v>7610</v>
      </c>
      <c r="P15" s="15">
        <f t="shared" si="2"/>
        <v>21106.87796075</v>
      </c>
      <c r="Q15" s="20">
        <f t="shared" si="6"/>
        <v>80.248779607499998</v>
      </c>
      <c r="R15" s="20">
        <f>500</f>
        <v>500</v>
      </c>
      <c r="S15" s="20">
        <f t="shared" si="4"/>
        <v>561.74145725250003</v>
      </c>
      <c r="T15" s="12">
        <f>(E15*0.07)</f>
        <v>561.74145725250003</v>
      </c>
      <c r="U15" s="20">
        <v>2172.2886364162</v>
      </c>
      <c r="V15" s="22"/>
      <c r="W15" s="23"/>
      <c r="X15" s="23"/>
      <c r="Y15" s="23">
        <f>966.64</f>
        <v>966.64</v>
      </c>
      <c r="Z15" s="23">
        <f>1933.28</f>
        <v>1933.28</v>
      </c>
      <c r="AA15" s="17">
        <f t="shared" si="0"/>
        <v>6775.9403305286996</v>
      </c>
      <c r="AB15" s="18">
        <f t="shared" si="1"/>
        <v>14330.9376302213</v>
      </c>
    </row>
    <row r="16" spans="2:28" ht="22.5" x14ac:dyDescent="0.25">
      <c r="B16" s="8" t="s">
        <v>89</v>
      </c>
      <c r="C16" s="9" t="s">
        <v>41</v>
      </c>
      <c r="D16" s="10">
        <v>1</v>
      </c>
      <c r="E16" s="11">
        <v>7531.9769857499987</v>
      </c>
      <c r="F16" s="13">
        <v>1133</v>
      </c>
      <c r="G16" s="13">
        <v>1133</v>
      </c>
      <c r="H16" s="13">
        <v>1133</v>
      </c>
      <c r="I16" s="13">
        <v>1000</v>
      </c>
      <c r="J16" s="13">
        <v>180</v>
      </c>
      <c r="K16" s="20"/>
      <c r="L16" s="13">
        <v>150</v>
      </c>
      <c r="M16" s="20">
        <v>715</v>
      </c>
      <c r="N16" s="20"/>
      <c r="O16" s="21">
        <f t="shared" si="5"/>
        <v>7610</v>
      </c>
      <c r="P16" s="15">
        <f t="shared" si="2"/>
        <v>20585.97698575</v>
      </c>
      <c r="Q16" s="20"/>
      <c r="R16" s="20"/>
      <c r="S16" s="20">
        <f t="shared" si="4"/>
        <v>527.23838900249996</v>
      </c>
      <c r="T16" s="12">
        <f>(E16*0.07)</f>
        <v>527.23838900249996</v>
      </c>
      <c r="U16" s="20">
        <v>2064.0145881562003</v>
      </c>
      <c r="V16" s="22"/>
      <c r="W16" s="23"/>
      <c r="X16" s="23">
        <v>2735.66</v>
      </c>
      <c r="Y16" s="23"/>
      <c r="Z16" s="23"/>
      <c r="AA16" s="17">
        <f t="shared" si="0"/>
        <v>5854.1513661611998</v>
      </c>
      <c r="AB16" s="18">
        <f t="shared" si="1"/>
        <v>14731.825619588799</v>
      </c>
    </row>
    <row r="17" spans="2:28" ht="22.5" x14ac:dyDescent="0.25">
      <c r="B17" s="8" t="s">
        <v>90</v>
      </c>
      <c r="C17" s="9" t="s">
        <v>42</v>
      </c>
      <c r="D17" s="10"/>
      <c r="E17" s="11">
        <v>6069.96</v>
      </c>
      <c r="F17" s="30"/>
      <c r="G17" s="30"/>
      <c r="H17" s="30"/>
      <c r="I17" s="27"/>
      <c r="J17" s="28"/>
      <c r="K17" s="28"/>
      <c r="L17" s="28"/>
      <c r="M17" s="20"/>
      <c r="N17" s="20"/>
      <c r="O17" s="21"/>
      <c r="P17" s="15">
        <f t="shared" si="2"/>
        <v>6069.96</v>
      </c>
      <c r="Q17" s="20"/>
      <c r="R17" s="28"/>
      <c r="S17" s="28"/>
      <c r="T17" s="12"/>
      <c r="U17" s="20">
        <v>527.76699999999994</v>
      </c>
      <c r="V17" s="22"/>
      <c r="W17" s="23"/>
      <c r="X17" s="23"/>
      <c r="Y17" s="23"/>
      <c r="Z17" s="23"/>
      <c r="AA17" s="17">
        <f t="shared" si="0"/>
        <v>527.76699999999994</v>
      </c>
      <c r="AB17" s="18">
        <f t="shared" si="1"/>
        <v>5542.1930000000002</v>
      </c>
    </row>
    <row r="18" spans="2:28" x14ac:dyDescent="0.25">
      <c r="B18" s="8" t="s">
        <v>90</v>
      </c>
      <c r="C18" s="25" t="s">
        <v>43</v>
      </c>
      <c r="D18" s="31"/>
      <c r="E18" s="32">
        <f>(3018.5/15)*1</f>
        <v>201.23333333333332</v>
      </c>
      <c r="F18" s="30"/>
      <c r="G18" s="30"/>
      <c r="H18" s="30"/>
      <c r="I18" s="27"/>
      <c r="J18" s="28"/>
      <c r="K18" s="28"/>
      <c r="L18" s="28"/>
      <c r="M18" s="20"/>
      <c r="N18" s="20"/>
      <c r="O18" s="21"/>
      <c r="P18" s="15">
        <f t="shared" si="2"/>
        <v>201.23333333333332</v>
      </c>
      <c r="Q18" s="20"/>
      <c r="R18" s="28"/>
      <c r="S18" s="28"/>
      <c r="T18" s="12"/>
      <c r="U18" s="20"/>
      <c r="V18" s="22"/>
      <c r="W18" s="23"/>
      <c r="X18" s="23"/>
      <c r="Y18" s="23"/>
      <c r="Z18" s="23"/>
      <c r="AA18" s="17">
        <f t="shared" si="0"/>
        <v>0</v>
      </c>
      <c r="AB18" s="18">
        <f t="shared" si="1"/>
        <v>201.23333333333332</v>
      </c>
    </row>
    <row r="19" spans="2:28" x14ac:dyDescent="0.25">
      <c r="B19" s="8" t="s">
        <v>44</v>
      </c>
      <c r="C19" s="25" t="s">
        <v>45</v>
      </c>
      <c r="D19" s="31"/>
      <c r="E19" s="32">
        <f>24876/2</f>
        <v>12438</v>
      </c>
      <c r="F19" s="30"/>
      <c r="G19" s="30"/>
      <c r="H19" s="30"/>
      <c r="I19" s="27"/>
      <c r="J19" s="28"/>
      <c r="K19" s="28"/>
      <c r="L19" s="28"/>
      <c r="M19" s="28"/>
      <c r="N19" s="28"/>
      <c r="O19" s="29"/>
      <c r="P19" s="15">
        <f t="shared" si="2"/>
        <v>12438</v>
      </c>
      <c r="Q19" s="28"/>
      <c r="R19" s="28"/>
      <c r="S19" s="28"/>
      <c r="T19" s="32"/>
      <c r="U19" s="28">
        <v>1936</v>
      </c>
      <c r="V19" s="33"/>
      <c r="W19" s="34"/>
      <c r="X19" s="34"/>
      <c r="Y19" s="34"/>
      <c r="Z19" s="34"/>
      <c r="AA19" s="17">
        <f t="shared" si="0"/>
        <v>1936</v>
      </c>
      <c r="AB19" s="18">
        <f t="shared" si="1"/>
        <v>10502</v>
      </c>
    </row>
    <row r="20" spans="2:28" ht="15.75" thickBot="1" x14ac:dyDescent="0.3">
      <c r="B20" s="35" t="s">
        <v>46</v>
      </c>
      <c r="C20" s="36"/>
      <c r="D20" s="37"/>
      <c r="E20" s="38">
        <f t="shared" ref="E20:P20" si="7">SUM(E4:E19)</f>
        <v>184870.52871486952</v>
      </c>
      <c r="F20" s="38">
        <f t="shared" si="7"/>
        <v>10864</v>
      </c>
      <c r="G20" s="38">
        <f t="shared" si="7"/>
        <v>11764</v>
      </c>
      <c r="H20" s="38">
        <f t="shared" si="7"/>
        <v>10864</v>
      </c>
      <c r="I20" s="38">
        <f t="shared" si="7"/>
        <v>10000</v>
      </c>
      <c r="J20" s="38">
        <f t="shared" si="7"/>
        <v>1385</v>
      </c>
      <c r="K20" s="38">
        <f t="shared" si="7"/>
        <v>3122</v>
      </c>
      <c r="L20" s="38">
        <f t="shared" si="7"/>
        <v>1075</v>
      </c>
      <c r="M20" s="38">
        <f t="shared" si="7"/>
        <v>6683</v>
      </c>
      <c r="N20" s="38">
        <f t="shared" si="7"/>
        <v>800</v>
      </c>
      <c r="O20" s="38">
        <f t="shared" si="7"/>
        <v>70880</v>
      </c>
      <c r="P20" s="38">
        <f t="shared" si="7"/>
        <v>312307.52871486964</v>
      </c>
      <c r="Q20" s="38">
        <f>SUM(Q4:Q18)</f>
        <v>640.39088846250002</v>
      </c>
      <c r="R20" s="38">
        <f>SUM(R4:R18)</f>
        <v>2500</v>
      </c>
      <c r="S20" s="38">
        <f>SUM(S4:S18)</f>
        <v>6089.6797767075359</v>
      </c>
      <c r="T20" s="38">
        <f>SUM(T4:T18)</f>
        <v>11631.293476707539</v>
      </c>
      <c r="U20" s="38">
        <f>SUM(U4:U19)</f>
        <v>40254.171798892909</v>
      </c>
      <c r="V20" s="38">
        <f t="shared" ref="V20:Z20" si="8">SUM(V4:V18)</f>
        <v>0</v>
      </c>
      <c r="W20" s="38">
        <f t="shared" si="8"/>
        <v>0</v>
      </c>
      <c r="X20" s="38">
        <f t="shared" si="8"/>
        <v>6631.26</v>
      </c>
      <c r="Y20" s="38">
        <f t="shared" si="8"/>
        <v>1933.28</v>
      </c>
      <c r="Z20" s="38">
        <f t="shared" si="8"/>
        <v>1933.28</v>
      </c>
      <c r="AA20" s="38">
        <f>SUM(AA4:AA19)</f>
        <v>71613.355940770503</v>
      </c>
      <c r="AB20" s="38">
        <f>SUM(AB4:AB19)</f>
        <v>240694.1727740991</v>
      </c>
    </row>
    <row r="21" spans="2:28" x14ac:dyDescent="0.25"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</row>
    <row r="22" spans="2:28" ht="15" customHeight="1" x14ac:dyDescent="0.25">
      <c r="B22" s="42"/>
      <c r="E22" s="40"/>
    </row>
    <row r="29" spans="2:28" x14ac:dyDescent="0.25">
      <c r="B29" t="s">
        <v>87</v>
      </c>
      <c r="C29" t="s">
        <v>91</v>
      </c>
    </row>
    <row r="30" spans="2:28" x14ac:dyDescent="0.25">
      <c r="B30" t="s">
        <v>88</v>
      </c>
      <c r="C30" t="s">
        <v>92</v>
      </c>
    </row>
    <row r="31" spans="2:28" x14ac:dyDescent="0.25">
      <c r="B31" t="s">
        <v>89</v>
      </c>
      <c r="C31" t="s">
        <v>93</v>
      </c>
    </row>
    <row r="32" spans="2:28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" right="0.70866141732283472" top="0" bottom="0" header="0.31496062992125984" footer="0.31496062992125984"/>
  <pageSetup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3"/>
  <sheetViews>
    <sheetView workbookViewId="0">
      <selection activeCell="C2" sqref="C2:D2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10.140625" customWidth="1"/>
    <col min="7" max="7" width="8.85546875" customWidth="1"/>
    <col min="8" max="8" width="9.7109375" customWidth="1"/>
    <col min="9" max="9" width="9" customWidth="1"/>
    <col min="10" max="11" width="8.85546875" customWidth="1"/>
    <col min="12" max="15" width="8.7109375" customWidth="1"/>
    <col min="16" max="16" width="12.5703125" bestFit="1" customWidth="1"/>
    <col min="17" max="17" width="7.42578125" customWidth="1"/>
    <col min="18" max="19" width="8.7109375" bestFit="1" customWidth="1"/>
    <col min="20" max="20" width="9" customWidth="1"/>
    <col min="21" max="21" width="9.5703125" customWidth="1"/>
    <col min="22" max="22" width="8.5703125" customWidth="1"/>
    <col min="23" max="24" width="10.140625" customWidth="1"/>
    <col min="25" max="25" width="9.5703125" customWidth="1"/>
    <col min="26" max="26" width="12.5703125" bestFit="1" customWidth="1"/>
    <col min="27" max="27" width="14.140625" bestFit="1" customWidth="1"/>
  </cols>
  <sheetData>
    <row r="1" spans="2:26" ht="19.5" thickBot="1" x14ac:dyDescent="0.3">
      <c r="E1" s="1"/>
      <c r="F1" s="2" t="s">
        <v>97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6" ht="48.75" customHeight="1" x14ac:dyDescent="0.25">
      <c r="B2" s="47"/>
      <c r="C2" s="47" t="s">
        <v>1</v>
      </c>
      <c r="D2" s="47" t="s">
        <v>2</v>
      </c>
      <c r="E2" s="54" t="s">
        <v>3</v>
      </c>
      <c r="F2" s="55" t="s">
        <v>4</v>
      </c>
      <c r="G2" s="55" t="s">
        <v>5</v>
      </c>
      <c r="H2" s="55" t="s">
        <v>7</v>
      </c>
      <c r="I2" s="55" t="s">
        <v>8</v>
      </c>
      <c r="J2" s="55" t="s">
        <v>9</v>
      </c>
      <c r="K2" s="55" t="s">
        <v>10</v>
      </c>
      <c r="L2" s="55" t="s">
        <v>11</v>
      </c>
      <c r="M2" s="55" t="s">
        <v>12</v>
      </c>
      <c r="N2" s="55" t="s">
        <v>13</v>
      </c>
      <c r="O2" s="61" t="s">
        <v>98</v>
      </c>
      <c r="P2" s="48" t="s">
        <v>96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7" t="s">
        <v>22</v>
      </c>
      <c r="W2" s="49" t="s">
        <v>83</v>
      </c>
      <c r="X2" s="49" t="s">
        <v>84</v>
      </c>
      <c r="Y2" s="49" t="s">
        <v>85</v>
      </c>
      <c r="Z2" s="50" t="s">
        <v>86</v>
      </c>
    </row>
    <row r="3" spans="2:26" x14ac:dyDescent="0.25">
      <c r="B3" s="8" t="s">
        <v>87</v>
      </c>
      <c r="C3" s="9" t="s">
        <v>23</v>
      </c>
      <c r="D3" s="10">
        <v>17</v>
      </c>
      <c r="E3" s="11">
        <v>19286.689999999999</v>
      </c>
      <c r="F3" s="13">
        <v>200</v>
      </c>
      <c r="G3" s="12"/>
      <c r="H3" s="13"/>
      <c r="I3" s="12"/>
      <c r="J3" s="12"/>
      <c r="K3" s="12"/>
      <c r="L3" s="12"/>
      <c r="M3" s="12"/>
      <c r="N3" s="14"/>
      <c r="O3" s="14"/>
      <c r="P3" s="15">
        <f>SUM(E3:O3)</f>
        <v>19486.689999999999</v>
      </c>
      <c r="Q3" s="12"/>
      <c r="R3" s="12"/>
      <c r="S3" s="12"/>
      <c r="T3" s="12">
        <f t="shared" ref="T3:T16" si="0">(E3*0.07)</f>
        <v>1350.0683000000001</v>
      </c>
      <c r="U3" s="12">
        <v>3388.3970879999997</v>
      </c>
      <c r="V3" s="17"/>
      <c r="W3" s="17"/>
      <c r="X3" s="17"/>
      <c r="Y3" s="17">
        <f>SUM(Q3:X3)</f>
        <v>4738.4653879999996</v>
      </c>
      <c r="Z3" s="18">
        <f>+P3-Y3</f>
        <v>14748.224611999998</v>
      </c>
    </row>
    <row r="4" spans="2:26" x14ac:dyDescent="0.25">
      <c r="B4" s="8" t="s">
        <v>87</v>
      </c>
      <c r="C4" s="9" t="s">
        <v>24</v>
      </c>
      <c r="D4" s="10">
        <v>14</v>
      </c>
      <c r="E4" s="11">
        <v>14917.51</v>
      </c>
      <c r="F4" s="13">
        <v>200</v>
      </c>
      <c r="G4" s="20"/>
      <c r="H4" s="13"/>
      <c r="I4" s="20"/>
      <c r="J4" s="20"/>
      <c r="K4" s="20"/>
      <c r="L4" s="20"/>
      <c r="M4" s="20"/>
      <c r="N4" s="21"/>
      <c r="O4" s="21"/>
      <c r="P4" s="15">
        <f t="shared" ref="P4:P18" si="1">SUM(E4:O4)</f>
        <v>15117.51</v>
      </c>
      <c r="Q4" s="20"/>
      <c r="R4" s="20"/>
      <c r="S4" s="20"/>
      <c r="T4" s="12">
        <f t="shared" si="0"/>
        <v>1044.2257000000002</v>
      </c>
      <c r="U4" s="20">
        <v>2373.7416400000002</v>
      </c>
      <c r="V4" s="23"/>
      <c r="W4" s="23"/>
      <c r="X4" s="23"/>
      <c r="Y4" s="17">
        <f>SUM(Q4:X4)</f>
        <v>3417.9673400000001</v>
      </c>
      <c r="Z4" s="18">
        <f>+P4-Y4</f>
        <v>11699.542659999999</v>
      </c>
    </row>
    <row r="5" spans="2:26" x14ac:dyDescent="0.25">
      <c r="B5" s="8" t="s">
        <v>87</v>
      </c>
      <c r="C5" s="9" t="s">
        <v>25</v>
      </c>
      <c r="D5" s="10">
        <v>14</v>
      </c>
      <c r="E5" s="11">
        <v>14917.51</v>
      </c>
      <c r="F5" s="13">
        <v>200</v>
      </c>
      <c r="G5" s="20"/>
      <c r="H5" s="13"/>
      <c r="I5" s="20"/>
      <c r="J5" s="20"/>
      <c r="K5" s="20"/>
      <c r="L5" s="20"/>
      <c r="M5" s="20"/>
      <c r="N5" s="21"/>
      <c r="O5" s="21"/>
      <c r="P5" s="15">
        <f t="shared" si="1"/>
        <v>15117.51</v>
      </c>
      <c r="Q5" s="20"/>
      <c r="R5" s="20"/>
      <c r="S5" s="20"/>
      <c r="T5" s="12">
        <f t="shared" si="0"/>
        <v>1044.2257000000002</v>
      </c>
      <c r="U5" s="20">
        <v>2373.7416400000002</v>
      </c>
      <c r="V5" s="23"/>
      <c r="W5" s="23"/>
      <c r="X5" s="23"/>
      <c r="Y5" s="17">
        <f>SUM(Q5:X5)</f>
        <v>3417.9673400000001</v>
      </c>
      <c r="Z5" s="18">
        <f>+P5-Y5</f>
        <v>11699.542659999999</v>
      </c>
    </row>
    <row r="6" spans="2:26" ht="15" customHeight="1" x14ac:dyDescent="0.25">
      <c r="B6" s="8" t="s">
        <v>88</v>
      </c>
      <c r="C6" s="9" t="s">
        <v>27</v>
      </c>
      <c r="D6" s="10">
        <v>13</v>
      </c>
      <c r="E6" s="11">
        <v>15022.1</v>
      </c>
      <c r="F6" s="13">
        <v>900</v>
      </c>
      <c r="G6" s="13">
        <v>900</v>
      </c>
      <c r="H6" s="13">
        <v>900</v>
      </c>
      <c r="I6" s="13">
        <v>3000</v>
      </c>
      <c r="J6" s="20">
        <v>3341.8</v>
      </c>
      <c r="K6" s="20">
        <v>733</v>
      </c>
      <c r="L6" s="13"/>
      <c r="M6" s="20"/>
      <c r="N6" s="21">
        <f t="shared" ref="N6:N11" si="2">(E6/15)*2</f>
        <v>2002.9466666666667</v>
      </c>
      <c r="O6" s="21">
        <v>6500</v>
      </c>
      <c r="P6" s="15">
        <f t="shared" si="1"/>
        <v>33299.846666666665</v>
      </c>
      <c r="Q6" s="20"/>
      <c r="R6" s="20"/>
      <c r="S6" s="20"/>
      <c r="T6" s="12">
        <f t="shared" si="0"/>
        <v>1051.547</v>
      </c>
      <c r="U6" s="20">
        <v>4193.788528</v>
      </c>
      <c r="V6" s="52"/>
      <c r="W6" s="23"/>
      <c r="X6" s="23"/>
      <c r="Y6" s="17">
        <f>SUM(Q6:X6)</f>
        <v>5245.3355279999996</v>
      </c>
      <c r="Z6" s="18">
        <f>+P6-Y6</f>
        <v>28054.511138666665</v>
      </c>
    </row>
    <row r="7" spans="2:26" ht="15" customHeight="1" x14ac:dyDescent="0.25">
      <c r="B7" s="8" t="s">
        <v>88</v>
      </c>
      <c r="C7" s="9" t="s">
        <v>28</v>
      </c>
      <c r="D7" s="10">
        <v>13</v>
      </c>
      <c r="E7" s="11">
        <v>15022.1</v>
      </c>
      <c r="F7" s="13">
        <v>900</v>
      </c>
      <c r="G7" s="13">
        <v>900</v>
      </c>
      <c r="H7" s="13">
        <v>900</v>
      </c>
      <c r="I7" s="13">
        <v>3000</v>
      </c>
      <c r="J7" s="20">
        <v>3341.8</v>
      </c>
      <c r="K7" s="20">
        <v>733</v>
      </c>
      <c r="L7" s="13"/>
      <c r="M7" s="20"/>
      <c r="N7" s="21"/>
      <c r="O7" s="21">
        <v>6500</v>
      </c>
      <c r="P7" s="15">
        <f t="shared" si="1"/>
        <v>31296.899999999998</v>
      </c>
      <c r="Q7" s="20"/>
      <c r="R7" s="20"/>
      <c r="S7" s="20"/>
      <c r="T7" s="12">
        <f t="shared" si="0"/>
        <v>1051.547</v>
      </c>
      <c r="U7" s="20">
        <v>3958.2420000000002</v>
      </c>
      <c r="V7" s="52"/>
      <c r="W7" s="23"/>
      <c r="X7" s="23"/>
      <c r="Y7" s="17">
        <f>SUM(Q7:X7)</f>
        <v>5009.7890000000007</v>
      </c>
      <c r="Z7" s="18">
        <f>+P7-Y7</f>
        <v>26287.110999999997</v>
      </c>
    </row>
    <row r="8" spans="2:26" ht="15" customHeight="1" x14ac:dyDescent="0.25">
      <c r="B8" s="8" t="s">
        <v>88</v>
      </c>
      <c r="C8" s="9" t="s">
        <v>29</v>
      </c>
      <c r="D8" s="10">
        <v>9</v>
      </c>
      <c r="E8" s="11">
        <f>(11333.03/15)*2</f>
        <v>1511.0706666666667</v>
      </c>
      <c r="F8" s="13">
        <f>(900/30)*2</f>
        <v>60</v>
      </c>
      <c r="G8" s="13">
        <f>(900/30)*2</f>
        <v>60</v>
      </c>
      <c r="H8" s="13">
        <f>(900/30)*2</f>
        <v>60</v>
      </c>
      <c r="I8" s="13">
        <f>(1050/30)*2</f>
        <v>70</v>
      </c>
      <c r="J8" s="20">
        <f>(1803.2/30)*2</f>
        <v>120.21333333333334</v>
      </c>
      <c r="K8" s="20">
        <f>(675/30)*2</f>
        <v>45</v>
      </c>
      <c r="L8" s="13"/>
      <c r="M8" s="20"/>
      <c r="N8" s="21">
        <v>1511.07</v>
      </c>
      <c r="O8" s="21"/>
      <c r="P8" s="15">
        <f t="shared" si="1"/>
        <v>3437.3540000000003</v>
      </c>
      <c r="Q8" s="20"/>
      <c r="R8" s="20"/>
      <c r="S8" s="20"/>
      <c r="T8" s="12"/>
      <c r="U8" s="20">
        <v>135.87590400000002</v>
      </c>
      <c r="V8" s="52"/>
      <c r="W8" s="23"/>
      <c r="X8" s="23"/>
      <c r="Y8" s="17">
        <f>SUM(Q8:X8)</f>
        <v>135.87590400000002</v>
      </c>
      <c r="Z8" s="18">
        <f>+P8-Y8</f>
        <v>3301.4780960000003</v>
      </c>
    </row>
    <row r="9" spans="2:26" ht="15" customHeight="1" x14ac:dyDescent="0.25">
      <c r="B9" s="8" t="s">
        <v>89</v>
      </c>
      <c r="C9" s="9" t="s">
        <v>30</v>
      </c>
      <c r="D9" s="10">
        <v>10</v>
      </c>
      <c r="E9" s="11">
        <v>15424.35954953621</v>
      </c>
      <c r="F9" s="13">
        <v>1100</v>
      </c>
      <c r="G9" s="13">
        <v>1133</v>
      </c>
      <c r="H9" s="13">
        <v>1140</v>
      </c>
      <c r="I9" s="13">
        <v>1150</v>
      </c>
      <c r="J9" s="20">
        <v>1934.8</v>
      </c>
      <c r="K9" s="20">
        <v>787</v>
      </c>
      <c r="L9" s="13"/>
      <c r="M9" s="20">
        <v>945</v>
      </c>
      <c r="N9" s="21">
        <f t="shared" si="2"/>
        <v>2056.5812732714944</v>
      </c>
      <c r="O9" s="21">
        <f>7750+233+400</f>
        <v>8383</v>
      </c>
      <c r="P9" s="15">
        <f t="shared" si="1"/>
        <v>34053.740822807704</v>
      </c>
      <c r="Q9" s="20"/>
      <c r="R9" s="20"/>
      <c r="S9" s="20">
        <f t="shared" ref="S9:S16" si="3">(E9*0.07)</f>
        <v>1079.7051684675348</v>
      </c>
      <c r="T9" s="12">
        <f t="shared" si="0"/>
        <v>1079.7051684675348</v>
      </c>
      <c r="U9" s="20">
        <v>4250.6074037876442</v>
      </c>
      <c r="V9" s="52"/>
      <c r="W9" s="23"/>
      <c r="X9" s="23"/>
      <c r="Y9" s="17">
        <f>SUM(Q9:X9)</f>
        <v>6410.0177407227138</v>
      </c>
      <c r="Z9" s="18">
        <f>+P9-Y9</f>
        <v>27643.723082084991</v>
      </c>
    </row>
    <row r="10" spans="2:26" ht="15" customHeight="1" x14ac:dyDescent="0.25">
      <c r="B10" s="8" t="s">
        <v>89</v>
      </c>
      <c r="C10" s="9" t="s">
        <v>31</v>
      </c>
      <c r="D10" s="10">
        <v>8</v>
      </c>
      <c r="E10" s="11">
        <v>13360.854858749999</v>
      </c>
      <c r="F10" s="13">
        <v>1100</v>
      </c>
      <c r="G10" s="13">
        <v>1133</v>
      </c>
      <c r="H10" s="13">
        <v>1140</v>
      </c>
      <c r="I10" s="13">
        <v>1000</v>
      </c>
      <c r="J10" s="12">
        <v>1677.2</v>
      </c>
      <c r="K10" s="12">
        <f>662+100</f>
        <v>762</v>
      </c>
      <c r="L10" s="13">
        <v>325</v>
      </c>
      <c r="M10" s="13">
        <v>838</v>
      </c>
      <c r="N10" s="21"/>
      <c r="O10" s="21">
        <f t="shared" ref="O10:O16" si="4">7750+233+400</f>
        <v>8383</v>
      </c>
      <c r="P10" s="15">
        <f t="shared" si="1"/>
        <v>29719.054858749998</v>
      </c>
      <c r="Q10" s="20">
        <f t="shared" ref="Q10:Q15" si="5">(E10*0.01)</f>
        <v>133.6085485875</v>
      </c>
      <c r="R10" s="20">
        <f>1000</f>
        <v>1000</v>
      </c>
      <c r="S10" s="20">
        <f t="shared" si="3"/>
        <v>935.2598401125</v>
      </c>
      <c r="T10" s="12">
        <f t="shared" si="0"/>
        <v>935.2598401125</v>
      </c>
      <c r="U10" s="20">
        <v>3536.4001827779998</v>
      </c>
      <c r="V10" s="52"/>
      <c r="W10" s="23">
        <f>966.64</f>
        <v>966.64</v>
      </c>
      <c r="X10" s="23"/>
      <c r="Y10" s="17">
        <f>SUM(Q10:X10)</f>
        <v>7507.1684115905</v>
      </c>
      <c r="Z10" s="18">
        <f>+P10-Y10</f>
        <v>22211.886447159497</v>
      </c>
    </row>
    <row r="11" spans="2:26" x14ac:dyDescent="0.25">
      <c r="B11" s="8" t="s">
        <v>89</v>
      </c>
      <c r="C11" s="25" t="s">
        <v>33</v>
      </c>
      <c r="D11" s="26">
        <v>7</v>
      </c>
      <c r="E11" s="11">
        <v>12482.481170250001</v>
      </c>
      <c r="F11" s="13">
        <v>1100</v>
      </c>
      <c r="G11" s="13">
        <v>1133</v>
      </c>
      <c r="H11" s="13">
        <v>1140</v>
      </c>
      <c r="I11" s="13"/>
      <c r="J11" s="12">
        <v>1565.2</v>
      </c>
      <c r="K11" s="12">
        <f>651+100</f>
        <v>751</v>
      </c>
      <c r="L11" s="20"/>
      <c r="M11" s="20">
        <v>793</v>
      </c>
      <c r="N11" s="21">
        <f t="shared" si="2"/>
        <v>1664.3308227000002</v>
      </c>
      <c r="O11" s="21">
        <f t="shared" si="4"/>
        <v>8383</v>
      </c>
      <c r="P11" s="15">
        <f t="shared" si="1"/>
        <v>29012.011992950003</v>
      </c>
      <c r="Q11" s="20">
        <f t="shared" si="5"/>
        <v>124.82481170250001</v>
      </c>
      <c r="R11" s="20"/>
      <c r="S11" s="20">
        <f t="shared" si="3"/>
        <v>873.7736819175002</v>
      </c>
      <c r="T11" s="12">
        <f t="shared" si="0"/>
        <v>873.7736819175002</v>
      </c>
      <c r="U11" s="20">
        <v>3311.7351959923208</v>
      </c>
      <c r="V11" s="53">
        <v>3895.6</v>
      </c>
      <c r="W11" s="22"/>
      <c r="X11" s="22"/>
      <c r="Y11" s="17">
        <f>SUM(Q11:X11)</f>
        <v>9079.7073715298211</v>
      </c>
      <c r="Z11" s="18">
        <f>+P11-Y11</f>
        <v>19932.304621420182</v>
      </c>
    </row>
    <row r="12" spans="2:26" x14ac:dyDescent="0.25">
      <c r="B12" s="8" t="s">
        <v>89</v>
      </c>
      <c r="C12" s="9" t="s">
        <v>35</v>
      </c>
      <c r="D12" s="10">
        <v>5</v>
      </c>
      <c r="E12" s="11">
        <v>10948.878517500001</v>
      </c>
      <c r="F12" s="13">
        <v>1100</v>
      </c>
      <c r="G12" s="13">
        <v>1133</v>
      </c>
      <c r="H12" s="13">
        <v>1140</v>
      </c>
      <c r="I12" s="13"/>
      <c r="J12" s="13">
        <v>1241.8</v>
      </c>
      <c r="K12" s="13">
        <f>632+100</f>
        <v>732</v>
      </c>
      <c r="L12" s="13">
        <v>150</v>
      </c>
      <c r="M12" s="20">
        <v>713</v>
      </c>
      <c r="N12" s="21">
        <f>(E12/15)*2</f>
        <v>1459.8504690000002</v>
      </c>
      <c r="O12" s="21">
        <f t="shared" si="4"/>
        <v>8383</v>
      </c>
      <c r="P12" s="15">
        <f t="shared" si="1"/>
        <v>27001.528986500001</v>
      </c>
      <c r="Q12" s="20">
        <f t="shared" si="5"/>
        <v>109.48878517500002</v>
      </c>
      <c r="R12" s="20">
        <f>500</f>
        <v>500</v>
      </c>
      <c r="S12" s="20">
        <f t="shared" si="3"/>
        <v>766.42149622500017</v>
      </c>
      <c r="T12" s="12">
        <f t="shared" si="0"/>
        <v>766.42149622500017</v>
      </c>
      <c r="U12" s="20">
        <v>2912.5907224704001</v>
      </c>
      <c r="V12" s="52"/>
      <c r="W12" s="23"/>
      <c r="X12" s="23"/>
      <c r="Y12" s="17">
        <f>SUM(Q12:X12)</f>
        <v>5054.9225000954011</v>
      </c>
      <c r="Z12" s="18">
        <f>+P12-Y12</f>
        <v>21946.606486404598</v>
      </c>
    </row>
    <row r="13" spans="2:26" x14ac:dyDescent="0.25">
      <c r="B13" s="8" t="s">
        <v>89</v>
      </c>
      <c r="C13" s="9" t="s">
        <v>36</v>
      </c>
      <c r="D13" s="10">
        <v>4</v>
      </c>
      <c r="E13" s="11">
        <v>9610.9981694999988</v>
      </c>
      <c r="F13" s="13">
        <v>1100</v>
      </c>
      <c r="G13" s="13">
        <v>1133</v>
      </c>
      <c r="H13" s="13">
        <v>1140</v>
      </c>
      <c r="I13" s="13"/>
      <c r="J13" s="13">
        <v>845.6</v>
      </c>
      <c r="K13" s="13">
        <f>615+100</f>
        <v>715</v>
      </c>
      <c r="L13" s="13">
        <v>150</v>
      </c>
      <c r="M13" s="20">
        <v>644</v>
      </c>
      <c r="N13" s="21">
        <f>(E13/15)*2</f>
        <v>1281.4664225999998</v>
      </c>
      <c r="O13" s="21">
        <f t="shared" si="4"/>
        <v>8383</v>
      </c>
      <c r="P13" s="15">
        <f t="shared" si="1"/>
        <v>25003.0645921</v>
      </c>
      <c r="Q13" s="20">
        <f t="shared" si="5"/>
        <v>96.109981694999988</v>
      </c>
      <c r="R13" s="20"/>
      <c r="S13" s="20">
        <f t="shared" si="3"/>
        <v>672.76987186500003</v>
      </c>
      <c r="T13" s="12">
        <f t="shared" si="0"/>
        <v>672.76987186500003</v>
      </c>
      <c r="U13" s="20">
        <v>2520.2365807641595</v>
      </c>
      <c r="V13" s="52"/>
      <c r="W13" s="23"/>
      <c r="X13" s="23"/>
      <c r="Y13" s="17">
        <f>SUM(Q13:X13)</f>
        <v>3961.8863061891598</v>
      </c>
      <c r="Z13" s="18">
        <f>+P13-Y13</f>
        <v>21041.178285910839</v>
      </c>
    </row>
    <row r="14" spans="2:26" x14ac:dyDescent="0.25">
      <c r="B14" s="8" t="s">
        <v>89</v>
      </c>
      <c r="C14" s="9" t="s">
        <v>37</v>
      </c>
      <c r="D14" s="10">
        <v>4</v>
      </c>
      <c r="E14" s="11">
        <v>9610.9981694999988</v>
      </c>
      <c r="F14" s="13">
        <v>1100</v>
      </c>
      <c r="G14" s="13">
        <v>1133</v>
      </c>
      <c r="H14" s="13">
        <v>1140</v>
      </c>
      <c r="I14" s="13"/>
      <c r="J14" s="13">
        <v>845.6</v>
      </c>
      <c r="K14" s="13">
        <f>615+100</f>
        <v>715</v>
      </c>
      <c r="L14" s="13">
        <v>150</v>
      </c>
      <c r="M14" s="20">
        <v>644</v>
      </c>
      <c r="N14" s="21">
        <f>(E14/15)*2</f>
        <v>1281.4664225999998</v>
      </c>
      <c r="O14" s="21">
        <f t="shared" si="4"/>
        <v>8383</v>
      </c>
      <c r="P14" s="15">
        <f t="shared" si="1"/>
        <v>25003.0645921</v>
      </c>
      <c r="Q14" s="20">
        <f t="shared" si="5"/>
        <v>96.109981694999988</v>
      </c>
      <c r="R14" s="20">
        <f>500</f>
        <v>500</v>
      </c>
      <c r="S14" s="20">
        <f t="shared" si="3"/>
        <v>672.76987186500003</v>
      </c>
      <c r="T14" s="12">
        <f t="shared" si="0"/>
        <v>672.76987186500003</v>
      </c>
      <c r="U14" s="20">
        <v>2520.2365807641595</v>
      </c>
      <c r="V14" s="52"/>
      <c r="W14" s="23"/>
      <c r="X14" s="23"/>
      <c r="Y14" s="17">
        <f>SUM(Q14:X14)</f>
        <v>4461.8863061891589</v>
      </c>
      <c r="Z14" s="18">
        <f>+P14-Y14</f>
        <v>20541.178285910843</v>
      </c>
    </row>
    <row r="15" spans="2:26" x14ac:dyDescent="0.25">
      <c r="B15" s="8" t="s">
        <v>89</v>
      </c>
      <c r="C15" s="9" t="s">
        <v>39</v>
      </c>
      <c r="D15" s="10">
        <v>2</v>
      </c>
      <c r="E15" s="11">
        <v>8024.8779607499991</v>
      </c>
      <c r="F15" s="13">
        <v>1100</v>
      </c>
      <c r="G15" s="13">
        <v>1133</v>
      </c>
      <c r="H15" s="13">
        <v>1140</v>
      </c>
      <c r="I15" s="13"/>
      <c r="J15" s="13">
        <v>704.2</v>
      </c>
      <c r="K15" s="13">
        <f>595+100</f>
        <v>695</v>
      </c>
      <c r="L15" s="13">
        <v>150</v>
      </c>
      <c r="M15" s="20">
        <v>561</v>
      </c>
      <c r="N15" s="21">
        <f>(E15/15)*2</f>
        <v>1069.9837280999998</v>
      </c>
      <c r="O15" s="21">
        <f t="shared" si="4"/>
        <v>8383</v>
      </c>
      <c r="P15" s="15">
        <f t="shared" si="1"/>
        <v>22961.061688850001</v>
      </c>
      <c r="Q15" s="20">
        <f t="shared" si="5"/>
        <v>80.248779607499998</v>
      </c>
      <c r="R15" s="20">
        <f>500</f>
        <v>500</v>
      </c>
      <c r="S15" s="20">
        <f t="shared" si="3"/>
        <v>561.74145725250003</v>
      </c>
      <c r="T15" s="12">
        <f t="shared" si="0"/>
        <v>561.74145725250003</v>
      </c>
      <c r="U15" s="20">
        <v>2131.08345857728</v>
      </c>
      <c r="V15" s="52"/>
      <c r="W15" s="23">
        <f>966.64</f>
        <v>966.64</v>
      </c>
      <c r="X15" s="23">
        <f>1933.28</f>
        <v>1933.28</v>
      </c>
      <c r="Y15" s="17">
        <f>SUM(Q15:X15)</f>
        <v>6734.7351526897801</v>
      </c>
      <c r="Z15" s="18">
        <f>+P15-Y15</f>
        <v>16226.326536160221</v>
      </c>
    </row>
    <row r="16" spans="2:26" ht="22.5" x14ac:dyDescent="0.25">
      <c r="B16" s="8" t="s">
        <v>89</v>
      </c>
      <c r="C16" s="9" t="s">
        <v>41</v>
      </c>
      <c r="D16" s="10">
        <v>1</v>
      </c>
      <c r="E16" s="11">
        <v>7531.9769857499987</v>
      </c>
      <c r="F16" s="13">
        <v>1100</v>
      </c>
      <c r="G16" s="13">
        <v>1133</v>
      </c>
      <c r="H16" s="13">
        <v>1140</v>
      </c>
      <c r="I16" s="13"/>
      <c r="J16" s="13">
        <v>658</v>
      </c>
      <c r="K16" s="13">
        <f>589+100</f>
        <v>689</v>
      </c>
      <c r="L16" s="13">
        <v>150</v>
      </c>
      <c r="M16" s="20">
        <v>536</v>
      </c>
      <c r="N16" s="21">
        <f>(E16/15)*2</f>
        <v>1004.2635980999999</v>
      </c>
      <c r="O16" s="21">
        <f t="shared" si="4"/>
        <v>8383</v>
      </c>
      <c r="P16" s="15">
        <f t="shared" si="1"/>
        <v>22325.240583849998</v>
      </c>
      <c r="Q16" s="20"/>
      <c r="R16" s="20"/>
      <c r="S16" s="20">
        <f t="shared" si="3"/>
        <v>527.23838900249996</v>
      </c>
      <c r="T16" s="12">
        <f t="shared" si="0"/>
        <v>527.23838900249996</v>
      </c>
      <c r="U16" s="20">
        <v>2010.5359404332798</v>
      </c>
      <c r="V16" s="52">
        <v>2735.66</v>
      </c>
      <c r="W16" s="23"/>
      <c r="X16" s="23"/>
      <c r="Y16" s="17">
        <f>SUM(Q16:X16)</f>
        <v>5800.6727184382798</v>
      </c>
      <c r="Z16" s="18">
        <f>+P16-Y16</f>
        <v>16524.567865411718</v>
      </c>
    </row>
    <row r="17" spans="2:27" ht="22.5" x14ac:dyDescent="0.25">
      <c r="B17" s="8" t="s">
        <v>90</v>
      </c>
      <c r="C17" s="9" t="s">
        <v>42</v>
      </c>
      <c r="D17" s="10"/>
      <c r="E17" s="11">
        <v>6069.96</v>
      </c>
      <c r="F17" s="27"/>
      <c r="G17" s="27"/>
      <c r="H17" s="27"/>
      <c r="I17" s="27"/>
      <c r="J17" s="28"/>
      <c r="K17" s="28"/>
      <c r="L17" s="27"/>
      <c r="M17" s="28"/>
      <c r="N17" s="29"/>
      <c r="O17" s="29"/>
      <c r="P17" s="15">
        <f t="shared" si="1"/>
        <v>6069.96</v>
      </c>
      <c r="Q17" s="20"/>
      <c r="R17" s="28"/>
      <c r="S17" s="28"/>
      <c r="T17" s="12"/>
      <c r="U17" s="20">
        <v>527.76699999999994</v>
      </c>
      <c r="V17" s="23"/>
      <c r="W17" s="23"/>
      <c r="X17" s="23"/>
      <c r="Y17" s="17">
        <f>SUM(Q17:X17)</f>
        <v>527.76699999999994</v>
      </c>
      <c r="Z17" s="18">
        <f>+P17-Y17</f>
        <v>5542.1930000000002</v>
      </c>
    </row>
    <row r="18" spans="2:27" x14ac:dyDescent="0.25">
      <c r="B18" s="8" t="s">
        <v>44</v>
      </c>
      <c r="C18" s="25" t="s">
        <v>45</v>
      </c>
      <c r="D18" s="31"/>
      <c r="E18" s="32">
        <f>24876/2</f>
        <v>12438</v>
      </c>
      <c r="F18" s="27"/>
      <c r="G18" s="27"/>
      <c r="H18" s="27"/>
      <c r="I18" s="27"/>
      <c r="J18" s="28"/>
      <c r="K18" s="28"/>
      <c r="L18" s="27"/>
      <c r="M18" s="28"/>
      <c r="N18" s="28"/>
      <c r="O18" s="29"/>
      <c r="P18" s="15">
        <f t="shared" si="1"/>
        <v>12438</v>
      </c>
      <c r="Q18" s="28"/>
      <c r="R18" s="28"/>
      <c r="S18" s="28"/>
      <c r="T18" s="32"/>
      <c r="U18" s="28">
        <v>1936</v>
      </c>
      <c r="V18" s="34"/>
      <c r="W18" s="34"/>
      <c r="X18" s="34"/>
      <c r="Y18" s="17">
        <f>SUM(Q18:X18)</f>
        <v>1936</v>
      </c>
      <c r="Z18" s="18">
        <f>+P18-Y18</f>
        <v>10502</v>
      </c>
    </row>
    <row r="19" spans="2:27" ht="15.75" thickBot="1" x14ac:dyDescent="0.3">
      <c r="B19" s="35" t="s">
        <v>46</v>
      </c>
      <c r="C19" s="36"/>
      <c r="D19" s="37"/>
      <c r="E19" s="38">
        <f t="shared" ref="E19:O19" si="6">SUM(E3:E18)</f>
        <v>186180.36604820285</v>
      </c>
      <c r="F19" s="38">
        <f t="shared" si="6"/>
        <v>11260</v>
      </c>
      <c r="G19" s="38">
        <f t="shared" si="6"/>
        <v>10924</v>
      </c>
      <c r="H19" s="38">
        <f t="shared" si="6"/>
        <v>10980</v>
      </c>
      <c r="I19" s="38">
        <f t="shared" si="6"/>
        <v>8220</v>
      </c>
      <c r="J19" s="38">
        <f t="shared" si="6"/>
        <v>16276.213333333335</v>
      </c>
      <c r="K19" s="38">
        <f t="shared" si="6"/>
        <v>7357</v>
      </c>
      <c r="L19" s="38">
        <f t="shared" si="6"/>
        <v>1075</v>
      </c>
      <c r="M19" s="38">
        <f t="shared" si="6"/>
        <v>5674</v>
      </c>
      <c r="N19" s="38">
        <f t="shared" si="6"/>
        <v>13331.959403038163</v>
      </c>
      <c r="O19" s="38">
        <f t="shared" si="6"/>
        <v>80064</v>
      </c>
      <c r="P19" s="38">
        <f>SUM(P3:P18)</f>
        <v>351342.53878457437</v>
      </c>
      <c r="Q19" s="38">
        <f>SUM(Q3:Q17)</f>
        <v>640.39088846250002</v>
      </c>
      <c r="R19" s="38">
        <f>SUM(R3:R17)</f>
        <v>2500</v>
      </c>
      <c r="S19" s="38">
        <f>SUM(S3:S17)</f>
        <v>6089.6797767075359</v>
      </c>
      <c r="T19" s="38">
        <f>SUM(T3:T17)</f>
        <v>11631.293476707539</v>
      </c>
      <c r="U19" s="38">
        <f>SUM(U3:U18)</f>
        <v>42080.979865567242</v>
      </c>
      <c r="V19" s="38">
        <f t="shared" ref="V19:Y19" si="7">SUM(V3:V17)</f>
        <v>6631.26</v>
      </c>
      <c r="W19" s="38">
        <f t="shared" si="7"/>
        <v>1933.28</v>
      </c>
      <c r="X19" s="38">
        <f t="shared" si="7"/>
        <v>1933.28</v>
      </c>
      <c r="Y19" s="38">
        <f t="shared" si="7"/>
        <v>71504.164007444822</v>
      </c>
      <c r="Z19" s="38">
        <f>SUM(Z3:Z18)</f>
        <v>277902.37477712956</v>
      </c>
      <c r="AA19" s="19"/>
    </row>
    <row r="20" spans="2:27" x14ac:dyDescent="0.25"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2:27" x14ac:dyDescent="0.25">
      <c r="B21" s="42"/>
      <c r="E21" s="40"/>
    </row>
    <row r="22" spans="2:27" x14ac:dyDescent="0.25">
      <c r="B22" s="42"/>
      <c r="E22" s="40"/>
    </row>
    <row r="23" spans="2:27" x14ac:dyDescent="0.25">
      <c r="B23" s="42"/>
      <c r="E23" s="40"/>
    </row>
    <row r="24" spans="2:27" x14ac:dyDescent="0.25">
      <c r="B24" s="42"/>
      <c r="E24" s="40"/>
    </row>
    <row r="25" spans="2:27" x14ac:dyDescent="0.25">
      <c r="B25" s="42"/>
      <c r="E25" s="40"/>
    </row>
    <row r="26" spans="2:27" x14ac:dyDescent="0.25">
      <c r="E26" s="40"/>
      <c r="P26" s="19"/>
      <c r="Z26" s="19"/>
    </row>
    <row r="27" spans="2:27" x14ac:dyDescent="0.25">
      <c r="P27" s="19"/>
      <c r="Z27" s="19"/>
    </row>
    <row r="28" spans="2:27" x14ac:dyDescent="0.25">
      <c r="P28" s="19"/>
      <c r="Z28" s="19"/>
    </row>
    <row r="29" spans="2:27" x14ac:dyDescent="0.25">
      <c r="B29" t="s">
        <v>87</v>
      </c>
      <c r="C29" t="s">
        <v>91</v>
      </c>
      <c r="P29" s="19"/>
      <c r="Z29" s="19"/>
    </row>
    <row r="30" spans="2:27" x14ac:dyDescent="0.25">
      <c r="B30" t="s">
        <v>88</v>
      </c>
      <c r="C30" t="s">
        <v>92</v>
      </c>
    </row>
    <row r="31" spans="2:27" x14ac:dyDescent="0.25">
      <c r="B31" t="s">
        <v>89</v>
      </c>
      <c r="C31" t="s">
        <v>93</v>
      </c>
    </row>
    <row r="32" spans="2:27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3"/>
  <sheetViews>
    <sheetView topLeftCell="A19" workbookViewId="0">
      <selection activeCell="U1" sqref="U1:U1048576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9.28515625" bestFit="1" customWidth="1"/>
    <col min="7" max="14" width="8.7109375" customWidth="1"/>
    <col min="15" max="15" width="12.5703125" bestFit="1" customWidth="1"/>
    <col min="16" max="16" width="7.42578125" customWidth="1"/>
    <col min="17" max="18" width="8.7109375" bestFit="1" customWidth="1"/>
    <col min="19" max="19" width="9" customWidth="1"/>
    <col min="20" max="20" width="9.5703125" customWidth="1"/>
    <col min="21" max="21" width="8.5703125" customWidth="1"/>
    <col min="22" max="23" width="10.140625" customWidth="1"/>
    <col min="24" max="24" width="9.5703125" customWidth="1"/>
    <col min="25" max="25" width="12.5703125" bestFit="1" customWidth="1"/>
    <col min="26" max="26" width="14.140625" bestFit="1" customWidth="1"/>
  </cols>
  <sheetData>
    <row r="1" spans="2:25" ht="18.75" x14ac:dyDescent="0.25">
      <c r="E1" s="1"/>
      <c r="F1" s="2" t="s">
        <v>99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2:25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</row>
    <row r="3" spans="2:25" ht="48.75" customHeight="1" x14ac:dyDescent="0.25">
      <c r="B3" s="47"/>
      <c r="C3" s="47" t="s">
        <v>1</v>
      </c>
      <c r="D3" s="47" t="s">
        <v>2</v>
      </c>
      <c r="E3" s="54" t="s">
        <v>3</v>
      </c>
      <c r="F3" s="55" t="s">
        <v>47</v>
      </c>
      <c r="G3" s="55" t="s">
        <v>48</v>
      </c>
      <c r="H3" s="55" t="s">
        <v>49</v>
      </c>
      <c r="I3" s="55" t="s">
        <v>50</v>
      </c>
      <c r="J3" s="55" t="s">
        <v>51</v>
      </c>
      <c r="K3" s="55" t="s">
        <v>52</v>
      </c>
      <c r="L3" s="55" t="s">
        <v>11</v>
      </c>
      <c r="M3" s="55" t="s">
        <v>53</v>
      </c>
      <c r="N3" s="55" t="s">
        <v>54</v>
      </c>
      <c r="O3" s="48" t="s">
        <v>96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7" t="s">
        <v>22</v>
      </c>
      <c r="V3" s="49" t="s">
        <v>83</v>
      </c>
      <c r="W3" s="49" t="s">
        <v>84</v>
      </c>
      <c r="X3" s="49" t="s">
        <v>85</v>
      </c>
      <c r="Y3" s="50" t="s">
        <v>86</v>
      </c>
    </row>
    <row r="4" spans="2:25" x14ac:dyDescent="0.25">
      <c r="B4" s="8" t="s">
        <v>87</v>
      </c>
      <c r="C4" s="9" t="s">
        <v>23</v>
      </c>
      <c r="D4" s="10">
        <v>17</v>
      </c>
      <c r="E4" s="11">
        <v>19286.689999999999</v>
      </c>
      <c r="F4" s="13"/>
      <c r="G4" s="12">
        <v>300</v>
      </c>
      <c r="H4" s="13"/>
      <c r="I4" s="12"/>
      <c r="J4" s="12"/>
      <c r="K4" s="12"/>
      <c r="L4" s="12"/>
      <c r="M4" s="12"/>
      <c r="N4" s="12"/>
      <c r="O4" s="15">
        <f>SUM(E4:N4)</f>
        <v>19586.689999999999</v>
      </c>
      <c r="P4" s="12"/>
      <c r="Q4" s="12"/>
      <c r="R4" s="12"/>
      <c r="S4" s="12">
        <f>(E4*0.07)</f>
        <v>1350.0683000000001</v>
      </c>
      <c r="T4" s="12">
        <v>3400.1570879999995</v>
      </c>
      <c r="U4" s="17"/>
      <c r="V4" s="17"/>
      <c r="W4" s="17"/>
      <c r="X4" s="17">
        <f>SUM(P4:W4)</f>
        <v>4750.2253879999998</v>
      </c>
      <c r="Y4" s="18">
        <f>+O4-X4</f>
        <v>14836.464612</v>
      </c>
    </row>
    <row r="5" spans="2:25" x14ac:dyDescent="0.25">
      <c r="B5" s="8" t="s">
        <v>87</v>
      </c>
      <c r="C5" s="9" t="s">
        <v>24</v>
      </c>
      <c r="D5" s="10">
        <v>14</v>
      </c>
      <c r="E5" s="11">
        <v>14917.51</v>
      </c>
      <c r="F5" s="13"/>
      <c r="G5" s="20">
        <v>300</v>
      </c>
      <c r="H5" s="13"/>
      <c r="I5" s="20"/>
      <c r="J5" s="20"/>
      <c r="K5" s="20"/>
      <c r="L5" s="20"/>
      <c r="M5" s="20"/>
      <c r="N5" s="20"/>
      <c r="O5" s="15">
        <f t="shared" ref="O5:O19" si="0">SUM(E5:N5)</f>
        <v>15217.51</v>
      </c>
      <c r="P5" s="20"/>
      <c r="Q5" s="20"/>
      <c r="R5" s="20"/>
      <c r="S5" s="12">
        <f>(E5*0.07)</f>
        <v>1044.2257000000002</v>
      </c>
      <c r="T5" s="20">
        <v>2384.42164</v>
      </c>
      <c r="U5" s="23"/>
      <c r="V5" s="23"/>
      <c r="W5" s="23"/>
      <c r="X5" s="17">
        <f>SUM(P5:W5)</f>
        <v>3428.6473400000004</v>
      </c>
      <c r="Y5" s="18">
        <f>+O5-X5</f>
        <v>11788.862659999999</v>
      </c>
    </row>
    <row r="6" spans="2:25" x14ac:dyDescent="0.25">
      <c r="B6" s="8" t="s">
        <v>87</v>
      </c>
      <c r="C6" s="9" t="s">
        <v>25</v>
      </c>
      <c r="D6" s="10">
        <v>14</v>
      </c>
      <c r="E6" s="11">
        <v>14917.51</v>
      </c>
      <c r="F6" s="13"/>
      <c r="G6" s="20">
        <v>300</v>
      </c>
      <c r="H6" s="13"/>
      <c r="I6" s="20"/>
      <c r="J6" s="20"/>
      <c r="K6" s="20"/>
      <c r="L6" s="20"/>
      <c r="M6" s="20"/>
      <c r="N6" s="20"/>
      <c r="O6" s="15">
        <f t="shared" si="0"/>
        <v>15217.51</v>
      </c>
      <c r="P6" s="20"/>
      <c r="Q6" s="20"/>
      <c r="R6" s="20"/>
      <c r="S6" s="12">
        <f>(E6*0.07)</f>
        <v>1044.2257000000002</v>
      </c>
      <c r="T6" s="20">
        <v>2384.42164</v>
      </c>
      <c r="U6" s="23"/>
      <c r="V6" s="23"/>
      <c r="W6" s="23"/>
      <c r="X6" s="17">
        <f>SUM(P6:W6)</f>
        <v>3428.6473400000004</v>
      </c>
      <c r="Y6" s="18">
        <f>+O6-X6</f>
        <v>11788.862659999999</v>
      </c>
    </row>
    <row r="7" spans="2:25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43">
        <v>900</v>
      </c>
      <c r="G7" s="43">
        <v>900</v>
      </c>
      <c r="H7" s="43">
        <v>900</v>
      </c>
      <c r="I7" s="13">
        <v>1000</v>
      </c>
      <c r="J7" s="20"/>
      <c r="K7" s="20">
        <v>750</v>
      </c>
      <c r="L7" s="13"/>
      <c r="M7" s="20"/>
      <c r="N7" s="20"/>
      <c r="O7" s="15">
        <f t="shared" si="0"/>
        <v>19472.099999999999</v>
      </c>
      <c r="P7" s="20"/>
      <c r="Q7" s="20"/>
      <c r="R7" s="20"/>
      <c r="S7" s="12">
        <f t="shared" ref="S7:S17" si="1">(E7*0.07)</f>
        <v>1051.547</v>
      </c>
      <c r="T7" s="51">
        <v>2779.3255199999994</v>
      </c>
      <c r="U7" s="23"/>
      <c r="V7" s="23"/>
      <c r="W7" s="23"/>
      <c r="X7" s="17">
        <f>SUM(P7:W7)</f>
        <v>3830.8725199999994</v>
      </c>
      <c r="Y7" s="18">
        <f>+O7-X7</f>
        <v>15641.22748</v>
      </c>
    </row>
    <row r="8" spans="2:25" ht="15" customHeight="1" x14ac:dyDescent="0.25">
      <c r="B8" s="8" t="s">
        <v>88</v>
      </c>
      <c r="C8" s="9" t="s">
        <v>28</v>
      </c>
      <c r="D8" s="10">
        <v>13</v>
      </c>
      <c r="E8" s="11">
        <v>15022.1</v>
      </c>
      <c r="F8" s="43">
        <v>900</v>
      </c>
      <c r="G8" s="43">
        <v>900</v>
      </c>
      <c r="H8" s="43">
        <v>900</v>
      </c>
      <c r="I8" s="13">
        <v>1000</v>
      </c>
      <c r="J8" s="20"/>
      <c r="K8" s="20">
        <v>750</v>
      </c>
      <c r="L8" s="13"/>
      <c r="M8" s="20"/>
      <c r="N8" s="20"/>
      <c r="O8" s="15">
        <f t="shared" si="0"/>
        <v>19472.099999999999</v>
      </c>
      <c r="P8" s="20"/>
      <c r="Q8" s="20"/>
      <c r="R8" s="20"/>
      <c r="S8" s="12">
        <f t="shared" si="1"/>
        <v>1051.547</v>
      </c>
      <c r="T8" s="20">
        <v>2779.3255199999994</v>
      </c>
      <c r="U8" s="23"/>
      <c r="V8" s="23"/>
      <c r="W8" s="23"/>
      <c r="X8" s="17">
        <f>SUM(P8:W8)</f>
        <v>3830.8725199999994</v>
      </c>
      <c r="Y8" s="18">
        <f>+O8-X8</f>
        <v>15641.22748</v>
      </c>
    </row>
    <row r="9" spans="2:25" ht="15" customHeight="1" x14ac:dyDescent="0.25">
      <c r="B9" s="8" t="s">
        <v>89</v>
      </c>
      <c r="C9" s="9" t="s">
        <v>30</v>
      </c>
      <c r="D9" s="10">
        <v>10</v>
      </c>
      <c r="E9" s="11">
        <v>15424.35954953621</v>
      </c>
      <c r="F9" s="13">
        <v>1133</v>
      </c>
      <c r="G9" s="13">
        <v>1133</v>
      </c>
      <c r="H9" s="13">
        <v>1133</v>
      </c>
      <c r="I9" s="13">
        <v>1000</v>
      </c>
      <c r="J9" s="20"/>
      <c r="K9" s="20">
        <v>606</v>
      </c>
      <c r="L9" s="13"/>
      <c r="M9" s="20">
        <v>999</v>
      </c>
      <c r="N9" s="20"/>
      <c r="O9" s="15">
        <f t="shared" si="0"/>
        <v>21428.35954953621</v>
      </c>
      <c r="P9" s="20"/>
      <c r="Q9" s="20"/>
      <c r="R9" s="20">
        <f t="shared" ref="R9:R17" si="2">(E9*0.07)</f>
        <v>1079.7051684675348</v>
      </c>
      <c r="S9" s="12">
        <f t="shared" si="1"/>
        <v>1079.7051684675348</v>
      </c>
      <c r="T9" s="20">
        <v>3029.2865660509165</v>
      </c>
      <c r="U9" s="23"/>
      <c r="V9" s="23"/>
      <c r="W9" s="23"/>
      <c r="X9" s="17">
        <f>SUM(P9:W9)</f>
        <v>5188.6969029859865</v>
      </c>
      <c r="Y9" s="18">
        <f>+O9-X9</f>
        <v>16239.662646550223</v>
      </c>
    </row>
    <row r="10" spans="2:25" ht="15" customHeight="1" x14ac:dyDescent="0.25">
      <c r="B10" s="8" t="s">
        <v>89</v>
      </c>
      <c r="C10" s="9" t="s">
        <v>31</v>
      </c>
      <c r="D10" s="10">
        <v>8</v>
      </c>
      <c r="E10" s="11">
        <v>13360.854858749999</v>
      </c>
      <c r="F10" s="13">
        <v>1133</v>
      </c>
      <c r="G10" s="13">
        <v>1133</v>
      </c>
      <c r="H10" s="13">
        <v>1133</v>
      </c>
      <c r="I10" s="13">
        <v>1000</v>
      </c>
      <c r="J10" s="12"/>
      <c r="K10" s="20">
        <v>525</v>
      </c>
      <c r="L10" s="13">
        <v>325</v>
      </c>
      <c r="M10" s="13">
        <v>925</v>
      </c>
      <c r="N10" s="13"/>
      <c r="O10" s="15">
        <f t="shared" si="0"/>
        <v>19534.854858749997</v>
      </c>
      <c r="P10" s="20">
        <f t="shared" ref="P10:P16" si="3">(E10*0.01)</f>
        <v>133.6085485875</v>
      </c>
      <c r="Q10" s="20">
        <f>1000</f>
        <v>1000</v>
      </c>
      <c r="R10" s="20">
        <f t="shared" si="2"/>
        <v>935.2598401125</v>
      </c>
      <c r="S10" s="12">
        <f t="shared" si="1"/>
        <v>935.2598401125</v>
      </c>
      <c r="T10" s="20">
        <v>2602.1622627779998</v>
      </c>
      <c r="U10" s="23"/>
      <c r="V10" s="23">
        <f>966.64</f>
        <v>966.64</v>
      </c>
      <c r="W10" s="23"/>
      <c r="X10" s="17">
        <f>SUM(P10:W10)</f>
        <v>6572.9304915905004</v>
      </c>
      <c r="Y10" s="18">
        <f>+O10-X10</f>
        <v>12961.924367159496</v>
      </c>
    </row>
    <row r="11" spans="2:25" x14ac:dyDescent="0.25">
      <c r="B11" s="8" t="s">
        <v>89</v>
      </c>
      <c r="C11" s="25" t="s">
        <v>33</v>
      </c>
      <c r="D11" s="26">
        <v>7</v>
      </c>
      <c r="E11" s="11">
        <v>12482.481170250001</v>
      </c>
      <c r="F11" s="13">
        <v>1133</v>
      </c>
      <c r="G11" s="13">
        <v>1133</v>
      </c>
      <c r="H11" s="13">
        <v>1133</v>
      </c>
      <c r="I11" s="13">
        <v>1000</v>
      </c>
      <c r="J11" s="12">
        <v>295</v>
      </c>
      <c r="K11" s="20">
        <v>491</v>
      </c>
      <c r="L11" s="20"/>
      <c r="M11" s="20">
        <v>893</v>
      </c>
      <c r="N11" s="20">
        <v>800</v>
      </c>
      <c r="O11" s="15">
        <f t="shared" si="0"/>
        <v>19360.481170250001</v>
      </c>
      <c r="P11" s="20">
        <f t="shared" si="3"/>
        <v>124.82481170250001</v>
      </c>
      <c r="Q11" s="20"/>
      <c r="R11" s="20">
        <f t="shared" si="2"/>
        <v>873.7736819175002</v>
      </c>
      <c r="S11" s="12">
        <f t="shared" si="1"/>
        <v>873.7736819175002</v>
      </c>
      <c r="T11" s="20">
        <v>2445.8254819654003</v>
      </c>
      <c r="U11" s="22">
        <v>3895.6</v>
      </c>
      <c r="V11" s="22"/>
      <c r="W11" s="22"/>
      <c r="X11" s="17">
        <f>SUM(P11:W11)</f>
        <v>8213.7976575029006</v>
      </c>
      <c r="Y11" s="18">
        <f>+O11-X11</f>
        <v>11146.6835127471</v>
      </c>
    </row>
    <row r="12" spans="2:25" x14ac:dyDescent="0.25">
      <c r="B12" s="8" t="s">
        <v>89</v>
      </c>
      <c r="C12" s="9" t="s">
        <v>35</v>
      </c>
      <c r="D12" s="10">
        <v>5</v>
      </c>
      <c r="E12" s="11">
        <v>10948.878517500001</v>
      </c>
      <c r="F12" s="13">
        <v>1133</v>
      </c>
      <c r="G12" s="13">
        <v>1133</v>
      </c>
      <c r="H12" s="13">
        <v>1133</v>
      </c>
      <c r="I12" s="13">
        <v>1000</v>
      </c>
      <c r="J12" s="13">
        <v>260</v>
      </c>
      <c r="K12" s="20"/>
      <c r="L12" s="13">
        <v>150</v>
      </c>
      <c r="M12" s="20">
        <v>838</v>
      </c>
      <c r="N12" s="20"/>
      <c r="O12" s="15">
        <f t="shared" si="0"/>
        <v>16595.878517500001</v>
      </c>
      <c r="P12" s="20">
        <f t="shared" si="3"/>
        <v>109.48878517500002</v>
      </c>
      <c r="Q12" s="20">
        <f>500</f>
        <v>500</v>
      </c>
      <c r="R12" s="20">
        <f t="shared" si="2"/>
        <v>766.42149622500017</v>
      </c>
      <c r="S12" s="12">
        <f t="shared" si="1"/>
        <v>766.42149622500017</v>
      </c>
      <c r="T12" s="20">
        <v>2002.7971553380003</v>
      </c>
      <c r="U12" s="23"/>
      <c r="V12" s="23"/>
      <c r="W12" s="23"/>
      <c r="X12" s="17">
        <f>SUM(P12:W12)</f>
        <v>4145.1289329630008</v>
      </c>
      <c r="Y12" s="18">
        <f>+O12-X12</f>
        <v>12450.749584536999</v>
      </c>
    </row>
    <row r="13" spans="2:25" x14ac:dyDescent="0.25">
      <c r="B13" s="8" t="s">
        <v>89</v>
      </c>
      <c r="C13" s="9" t="s">
        <v>36</v>
      </c>
      <c r="D13" s="10">
        <v>4</v>
      </c>
      <c r="E13" s="11">
        <v>9610.9981694999988</v>
      </c>
      <c r="F13" s="13">
        <v>1133</v>
      </c>
      <c r="G13" s="13">
        <v>1133</v>
      </c>
      <c r="H13" s="13">
        <v>1133</v>
      </c>
      <c r="I13" s="13">
        <v>1000</v>
      </c>
      <c r="J13" s="13">
        <v>230</v>
      </c>
      <c r="K13" s="20"/>
      <c r="L13" s="13">
        <v>150</v>
      </c>
      <c r="M13" s="20">
        <v>790</v>
      </c>
      <c r="N13" s="20"/>
      <c r="O13" s="15">
        <f t="shared" si="0"/>
        <v>15179.998169499999</v>
      </c>
      <c r="P13" s="20">
        <f t="shared" si="3"/>
        <v>96.109981694999988</v>
      </c>
      <c r="Q13" s="20"/>
      <c r="R13" s="20">
        <f t="shared" si="2"/>
        <v>672.76987186500003</v>
      </c>
      <c r="S13" s="12">
        <f t="shared" si="1"/>
        <v>672.76987186500003</v>
      </c>
      <c r="T13" s="20">
        <v>1708.6955130051999</v>
      </c>
      <c r="U13" s="23"/>
      <c r="V13" s="23"/>
      <c r="W13" s="23"/>
      <c r="X13" s="17">
        <f>SUM(P13:W13)</f>
        <v>3150.3452384302</v>
      </c>
      <c r="Y13" s="18">
        <f>+O13-X13</f>
        <v>12029.652931069799</v>
      </c>
    </row>
    <row r="14" spans="2:25" x14ac:dyDescent="0.25">
      <c r="B14" s="8" t="s">
        <v>89</v>
      </c>
      <c r="C14" s="9" t="s">
        <v>37</v>
      </c>
      <c r="D14" s="10">
        <v>4</v>
      </c>
      <c r="E14" s="11">
        <v>9610.9981694999988</v>
      </c>
      <c r="F14" s="13">
        <v>1133</v>
      </c>
      <c r="G14" s="13">
        <v>1133</v>
      </c>
      <c r="H14" s="13">
        <v>1133</v>
      </c>
      <c r="I14" s="13">
        <v>1000</v>
      </c>
      <c r="J14" s="13">
        <v>230</v>
      </c>
      <c r="K14" s="20"/>
      <c r="L14" s="13">
        <v>150</v>
      </c>
      <c r="M14" s="20">
        <v>790</v>
      </c>
      <c r="N14" s="20"/>
      <c r="O14" s="15">
        <f t="shared" si="0"/>
        <v>15179.998169499999</v>
      </c>
      <c r="P14" s="20">
        <f t="shared" si="3"/>
        <v>96.109981694999988</v>
      </c>
      <c r="Q14" s="20">
        <f>500</f>
        <v>500</v>
      </c>
      <c r="R14" s="20">
        <f t="shared" si="2"/>
        <v>672.76987186500003</v>
      </c>
      <c r="S14" s="12">
        <f t="shared" si="1"/>
        <v>672.76987186500003</v>
      </c>
      <c r="T14" s="20">
        <v>1708.6955130051999</v>
      </c>
      <c r="U14" s="23"/>
      <c r="V14" s="23"/>
      <c r="W14" s="23"/>
      <c r="X14" s="17">
        <f>SUM(P14:W14)</f>
        <v>3650.3452384302</v>
      </c>
      <c r="Y14" s="18">
        <f>+O14-X14</f>
        <v>11529.652931069799</v>
      </c>
    </row>
    <row r="15" spans="2:25" x14ac:dyDescent="0.25">
      <c r="B15" s="8" t="s">
        <v>89</v>
      </c>
      <c r="C15" s="9"/>
      <c r="D15" s="10"/>
      <c r="E15" s="11"/>
      <c r="F15" s="13"/>
      <c r="G15" s="13"/>
      <c r="H15" s="13"/>
      <c r="I15" s="13"/>
      <c r="J15" s="13"/>
      <c r="K15" s="20"/>
      <c r="L15" s="13"/>
      <c r="M15" s="20"/>
      <c r="N15" s="20"/>
      <c r="O15" s="15">
        <f t="shared" si="0"/>
        <v>0</v>
      </c>
      <c r="P15" s="20"/>
      <c r="Q15" s="20"/>
      <c r="R15" s="20"/>
      <c r="S15" s="12"/>
      <c r="T15" s="20">
        <v>0</v>
      </c>
      <c r="U15" s="23"/>
      <c r="V15" s="23"/>
      <c r="W15" s="23"/>
      <c r="X15" s="17">
        <f>SUM(P15:W15)</f>
        <v>0</v>
      </c>
      <c r="Y15" s="18">
        <f>+O15-X15</f>
        <v>0</v>
      </c>
    </row>
    <row r="16" spans="2:25" x14ac:dyDescent="0.25">
      <c r="B16" s="8" t="s">
        <v>89</v>
      </c>
      <c r="C16" s="9" t="s">
        <v>39</v>
      </c>
      <c r="D16" s="10">
        <v>2</v>
      </c>
      <c r="E16" s="11">
        <v>8024.8779607499991</v>
      </c>
      <c r="F16" s="13">
        <v>1133</v>
      </c>
      <c r="G16" s="13">
        <v>1133</v>
      </c>
      <c r="H16" s="13">
        <v>1133</v>
      </c>
      <c r="I16" s="13">
        <v>1000</v>
      </c>
      <c r="J16" s="13">
        <v>190</v>
      </c>
      <c r="K16" s="20"/>
      <c r="L16" s="13">
        <v>150</v>
      </c>
      <c r="M16" s="20">
        <v>733</v>
      </c>
      <c r="N16" s="20"/>
      <c r="O16" s="15">
        <f t="shared" si="0"/>
        <v>13496.87796075</v>
      </c>
      <c r="P16" s="20">
        <f t="shared" si="3"/>
        <v>80.248779607499998</v>
      </c>
      <c r="Q16" s="20">
        <f>500</f>
        <v>500</v>
      </c>
      <c r="R16" s="20">
        <f t="shared" si="2"/>
        <v>561.74145725250003</v>
      </c>
      <c r="S16" s="12">
        <f t="shared" si="1"/>
        <v>561.74145725250003</v>
      </c>
      <c r="T16" s="20">
        <v>1359.5406364162002</v>
      </c>
      <c r="U16" s="23"/>
      <c r="V16" s="23">
        <f>966.64</f>
        <v>966.64</v>
      </c>
      <c r="W16" s="23">
        <f>1933.28</f>
        <v>1933.28</v>
      </c>
      <c r="X16" s="17">
        <f>SUM(P16:W16)</f>
        <v>5963.1923305287</v>
      </c>
      <c r="Y16" s="18">
        <f>+O16-X16</f>
        <v>7533.6856302213</v>
      </c>
    </row>
    <row r="17" spans="2:26" ht="22.5" x14ac:dyDescent="0.25">
      <c r="B17" s="8" t="s">
        <v>89</v>
      </c>
      <c r="C17" s="9" t="s">
        <v>41</v>
      </c>
      <c r="D17" s="10">
        <v>1</v>
      </c>
      <c r="E17" s="11">
        <v>7531.9769857499987</v>
      </c>
      <c r="F17" s="13">
        <v>1133</v>
      </c>
      <c r="G17" s="13">
        <v>1133</v>
      </c>
      <c r="H17" s="13">
        <v>1133</v>
      </c>
      <c r="I17" s="13">
        <v>1000</v>
      </c>
      <c r="J17" s="13">
        <v>180</v>
      </c>
      <c r="K17" s="20"/>
      <c r="L17" s="13">
        <v>150</v>
      </c>
      <c r="M17" s="20">
        <v>715</v>
      </c>
      <c r="N17" s="20"/>
      <c r="O17" s="15">
        <f t="shared" si="0"/>
        <v>12975.97698575</v>
      </c>
      <c r="P17" s="20"/>
      <c r="Q17" s="20"/>
      <c r="R17" s="20">
        <f t="shared" si="2"/>
        <v>527.23838900249996</v>
      </c>
      <c r="S17" s="12">
        <f t="shared" si="1"/>
        <v>527.23838900249996</v>
      </c>
      <c r="T17" s="20">
        <v>1251.2665881562</v>
      </c>
      <c r="U17" s="23">
        <v>2735.66</v>
      </c>
      <c r="V17" s="23"/>
      <c r="W17" s="23"/>
      <c r="X17" s="17">
        <f>SUM(P17:W17)</f>
        <v>5041.4033661611993</v>
      </c>
      <c r="Y17" s="18">
        <f>+O17-X17</f>
        <v>7934.5736195888003</v>
      </c>
    </row>
    <row r="18" spans="2:26" ht="22.5" x14ac:dyDescent="0.25">
      <c r="B18" s="8" t="s">
        <v>90</v>
      </c>
      <c r="C18" s="9" t="s">
        <v>42</v>
      </c>
      <c r="D18" s="10"/>
      <c r="E18" s="11">
        <v>6069.96</v>
      </c>
      <c r="F18" s="30"/>
      <c r="G18" s="30"/>
      <c r="H18" s="30"/>
      <c r="I18" s="27"/>
      <c r="J18" s="28"/>
      <c r="K18" s="28"/>
      <c r="L18" s="28"/>
      <c r="M18" s="20"/>
      <c r="N18" s="20"/>
      <c r="O18" s="15">
        <f t="shared" si="0"/>
        <v>6069.96</v>
      </c>
      <c r="P18" s="20"/>
      <c r="Q18" s="28"/>
      <c r="R18" s="28"/>
      <c r="S18" s="12"/>
      <c r="T18" s="20">
        <v>527.76699999999994</v>
      </c>
      <c r="U18" s="23"/>
      <c r="V18" s="23"/>
      <c r="W18" s="23"/>
      <c r="X18" s="17">
        <f>SUM(P18:W18)</f>
        <v>527.76699999999994</v>
      </c>
      <c r="Y18" s="18">
        <f>+O18-X18</f>
        <v>5542.1930000000002</v>
      </c>
    </row>
    <row r="19" spans="2:26" x14ac:dyDescent="0.25">
      <c r="B19" s="8" t="s">
        <v>44</v>
      </c>
      <c r="C19" s="25" t="s">
        <v>45</v>
      </c>
      <c r="D19" s="31"/>
      <c r="E19" s="32">
        <f>24876/2</f>
        <v>12438</v>
      </c>
      <c r="F19" s="30"/>
      <c r="G19" s="30"/>
      <c r="H19" s="30"/>
      <c r="I19" s="27"/>
      <c r="J19" s="28"/>
      <c r="K19" s="28"/>
      <c r="L19" s="28"/>
      <c r="M19" s="28"/>
      <c r="N19" s="28"/>
      <c r="O19" s="15">
        <f t="shared" si="0"/>
        <v>12438</v>
      </c>
      <c r="P19" s="28"/>
      <c r="Q19" s="28"/>
      <c r="R19" s="28"/>
      <c r="S19" s="32"/>
      <c r="T19" s="28">
        <v>1936</v>
      </c>
      <c r="U19" s="34"/>
      <c r="V19" s="34"/>
      <c r="W19" s="34"/>
      <c r="X19" s="17">
        <f>SUM(P19:W19)</f>
        <v>1936</v>
      </c>
      <c r="Y19" s="18">
        <f>+O19-X19</f>
        <v>10502</v>
      </c>
    </row>
    <row r="20" spans="2:26" ht="15.75" thickBot="1" x14ac:dyDescent="0.3">
      <c r="B20" s="35" t="s">
        <v>46</v>
      </c>
      <c r="C20" s="36"/>
      <c r="D20" s="37"/>
      <c r="E20" s="38">
        <f>SUM(E4:E19)</f>
        <v>184669.29538153618</v>
      </c>
      <c r="F20" s="38">
        <f t="shared" ref="F20:Y20" si="4">SUM(F4:F19)</f>
        <v>10864</v>
      </c>
      <c r="G20" s="38">
        <f t="shared" si="4"/>
        <v>11764</v>
      </c>
      <c r="H20" s="38">
        <f t="shared" si="4"/>
        <v>10864</v>
      </c>
      <c r="I20" s="38">
        <f t="shared" si="4"/>
        <v>10000</v>
      </c>
      <c r="J20" s="38">
        <f t="shared" si="4"/>
        <v>1385</v>
      </c>
      <c r="K20" s="38">
        <f t="shared" si="4"/>
        <v>3122</v>
      </c>
      <c r="L20" s="38">
        <f t="shared" si="4"/>
        <v>1075</v>
      </c>
      <c r="M20" s="38">
        <f t="shared" si="4"/>
        <v>6683</v>
      </c>
      <c r="N20" s="38">
        <f t="shared" si="4"/>
        <v>800</v>
      </c>
      <c r="O20" s="38">
        <f t="shared" si="4"/>
        <v>241226.29538153621</v>
      </c>
      <c r="P20" s="38">
        <f t="shared" si="4"/>
        <v>640.39088846250002</v>
      </c>
      <c r="Q20" s="38">
        <f t="shared" si="4"/>
        <v>2500</v>
      </c>
      <c r="R20" s="38">
        <f t="shared" si="4"/>
        <v>6089.6797767075359</v>
      </c>
      <c r="S20" s="38">
        <f t="shared" si="4"/>
        <v>11631.293476707539</v>
      </c>
      <c r="T20" s="38">
        <f t="shared" si="4"/>
        <v>32299.688124715114</v>
      </c>
      <c r="U20" s="38">
        <f t="shared" si="4"/>
        <v>6631.26</v>
      </c>
      <c r="V20" s="38">
        <f t="shared" si="4"/>
        <v>1933.28</v>
      </c>
      <c r="W20" s="38">
        <f t="shared" si="4"/>
        <v>1933.28</v>
      </c>
      <c r="X20" s="38">
        <f t="shared" si="4"/>
        <v>63658.872266592683</v>
      </c>
      <c r="Y20" s="38">
        <f t="shared" si="4"/>
        <v>177567.42311494352</v>
      </c>
      <c r="Z20" s="19"/>
    </row>
    <row r="21" spans="2:26" x14ac:dyDescent="0.25"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9" spans="2:26" x14ac:dyDescent="0.25">
      <c r="B29" t="s">
        <v>87</v>
      </c>
      <c r="C29" t="s">
        <v>91</v>
      </c>
    </row>
    <row r="30" spans="2:26" x14ac:dyDescent="0.25">
      <c r="B30" t="s">
        <v>88</v>
      </c>
      <c r="C30" t="s">
        <v>92</v>
      </c>
    </row>
    <row r="31" spans="2:26" x14ac:dyDescent="0.25">
      <c r="B31" t="s">
        <v>89</v>
      </c>
      <c r="C31" t="s">
        <v>93</v>
      </c>
    </row>
    <row r="32" spans="2:26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topLeftCell="A19" workbookViewId="0">
      <selection activeCell="C4" sqref="C4:F17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10.140625" customWidth="1"/>
    <col min="7" max="7" width="8.85546875" customWidth="1"/>
    <col min="8" max="8" width="9.7109375" customWidth="1"/>
    <col min="9" max="9" width="9" customWidth="1"/>
    <col min="10" max="11" width="8.85546875" customWidth="1"/>
    <col min="12" max="15" width="8.7109375" customWidth="1"/>
    <col min="16" max="16" width="12.5703125" bestFit="1" customWidth="1"/>
    <col min="17" max="17" width="7.42578125" customWidth="1"/>
    <col min="18" max="19" width="8.7109375" bestFit="1" customWidth="1"/>
    <col min="20" max="20" width="9" customWidth="1"/>
    <col min="21" max="21" width="9.5703125" customWidth="1"/>
    <col min="22" max="22" width="7.85546875" hidden="1" customWidth="1"/>
    <col min="23" max="23" width="8.5703125" hidden="1" customWidth="1"/>
    <col min="24" max="24" width="8.5703125" customWidth="1"/>
    <col min="25" max="26" width="10.140625" customWidth="1"/>
    <col min="27" max="27" width="9.5703125" customWidth="1"/>
    <col min="28" max="28" width="12.5703125" bestFit="1" customWidth="1"/>
    <col min="29" max="29" width="14.140625" bestFit="1" customWidth="1"/>
  </cols>
  <sheetData>
    <row r="1" spans="2:28" ht="18.75" x14ac:dyDescent="0.25">
      <c r="E1" s="1"/>
      <c r="F1" s="2" t="s">
        <v>100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8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28" ht="48.75" customHeight="1" x14ac:dyDescent="0.25">
      <c r="B3" s="47"/>
      <c r="C3" s="47" t="s">
        <v>1</v>
      </c>
      <c r="D3" s="47" t="s">
        <v>2</v>
      </c>
      <c r="E3" s="54" t="s">
        <v>3</v>
      </c>
      <c r="F3" s="55" t="s">
        <v>4</v>
      </c>
      <c r="G3" s="55" t="s">
        <v>5</v>
      </c>
      <c r="H3" s="55" t="s">
        <v>7</v>
      </c>
      <c r="I3" s="55" t="s">
        <v>8</v>
      </c>
      <c r="J3" s="55" t="s">
        <v>9</v>
      </c>
      <c r="K3" s="55" t="s">
        <v>10</v>
      </c>
      <c r="L3" s="55" t="s">
        <v>11</v>
      </c>
      <c r="M3" s="55" t="s">
        <v>12</v>
      </c>
      <c r="N3" s="55" t="s">
        <v>13</v>
      </c>
      <c r="O3" s="61" t="s">
        <v>101</v>
      </c>
      <c r="P3" s="48" t="s">
        <v>96</v>
      </c>
      <c r="Q3" s="5" t="s">
        <v>15</v>
      </c>
      <c r="R3" s="5" t="s">
        <v>16</v>
      </c>
      <c r="S3" s="5" t="s">
        <v>17</v>
      </c>
      <c r="T3" s="5" t="s">
        <v>18</v>
      </c>
      <c r="U3" s="5" t="s">
        <v>19</v>
      </c>
      <c r="V3" s="6" t="s">
        <v>20</v>
      </c>
      <c r="W3" s="6" t="s">
        <v>21</v>
      </c>
      <c r="X3" s="7" t="s">
        <v>22</v>
      </c>
      <c r="Y3" s="49" t="s">
        <v>83</v>
      </c>
      <c r="Z3" s="49" t="s">
        <v>84</v>
      </c>
      <c r="AA3" s="49" t="s">
        <v>85</v>
      </c>
      <c r="AB3" s="50" t="s">
        <v>86</v>
      </c>
    </row>
    <row r="4" spans="2:28" x14ac:dyDescent="0.25">
      <c r="B4" s="8" t="s">
        <v>87</v>
      </c>
      <c r="C4" s="9" t="s">
        <v>23</v>
      </c>
      <c r="D4" s="10">
        <v>17</v>
      </c>
      <c r="E4" s="11">
        <v>19286.689999999999</v>
      </c>
      <c r="F4" s="13">
        <v>200</v>
      </c>
      <c r="G4" s="12"/>
      <c r="H4" s="13"/>
      <c r="I4" s="12"/>
      <c r="J4" s="12"/>
      <c r="K4" s="12"/>
      <c r="L4" s="12"/>
      <c r="M4" s="12"/>
      <c r="N4" s="14"/>
      <c r="O4" s="14"/>
      <c r="P4" s="15">
        <f t="shared" ref="P4:P17" si="0">SUM(E4:O4)</f>
        <v>19486.689999999999</v>
      </c>
      <c r="Q4" s="12"/>
      <c r="R4" s="12"/>
      <c r="S4" s="12"/>
      <c r="T4" s="12">
        <f t="shared" ref="T4:T16" si="1">(E4*0.07)</f>
        <v>1350.0683000000001</v>
      </c>
      <c r="U4" s="12">
        <v>3388.3970879999997</v>
      </c>
      <c r="V4" s="16"/>
      <c r="W4" s="17"/>
      <c r="X4" s="17">
        <v>1826.6</v>
      </c>
      <c r="Y4" s="17"/>
      <c r="Z4" s="17"/>
      <c r="AA4" s="17">
        <f>SUM(Q4:Z4)</f>
        <v>6565.0653879999991</v>
      </c>
      <c r="AB4" s="18">
        <f>+P4-AA4</f>
        <v>12921.624612</v>
      </c>
    </row>
    <row r="5" spans="2:28" x14ac:dyDescent="0.25">
      <c r="B5" s="8" t="s">
        <v>87</v>
      </c>
      <c r="C5" s="9" t="s">
        <v>24</v>
      </c>
      <c r="D5" s="10">
        <v>14</v>
      </c>
      <c r="E5" s="11">
        <v>14917.51</v>
      </c>
      <c r="F5" s="13">
        <v>200</v>
      </c>
      <c r="G5" s="20"/>
      <c r="H5" s="13"/>
      <c r="I5" s="20"/>
      <c r="J5" s="20"/>
      <c r="K5" s="20"/>
      <c r="L5" s="20"/>
      <c r="M5" s="20"/>
      <c r="N5" s="21"/>
      <c r="O5" s="21"/>
      <c r="P5" s="15">
        <f t="shared" si="0"/>
        <v>15117.51</v>
      </c>
      <c r="Q5" s="20"/>
      <c r="R5" s="20"/>
      <c r="S5" s="20"/>
      <c r="T5" s="12">
        <f t="shared" si="1"/>
        <v>1044.2257000000002</v>
      </c>
      <c r="U5" s="12">
        <v>2373.7416400000002</v>
      </c>
      <c r="V5" s="22"/>
      <c r="W5" s="23"/>
      <c r="X5" s="17">
        <v>1390.58</v>
      </c>
      <c r="Y5" s="23"/>
      <c r="Z5" s="23"/>
      <c r="AA5" s="17">
        <f t="shared" ref="AA5:AA18" si="2">SUM(Q5:Z5)</f>
        <v>4808.5473400000001</v>
      </c>
      <c r="AB5" s="18">
        <f t="shared" ref="AB5:AB18" si="3">+P5-AA5</f>
        <v>10308.962660000001</v>
      </c>
    </row>
    <row r="6" spans="2:28" x14ac:dyDescent="0.25">
      <c r="B6" s="8" t="s">
        <v>87</v>
      </c>
      <c r="C6" s="9" t="s">
        <v>25</v>
      </c>
      <c r="D6" s="10">
        <v>14</v>
      </c>
      <c r="E6" s="11">
        <v>14917.51</v>
      </c>
      <c r="F6" s="13">
        <v>200</v>
      </c>
      <c r="G6" s="20"/>
      <c r="H6" s="13"/>
      <c r="I6" s="20"/>
      <c r="J6" s="20"/>
      <c r="K6" s="20"/>
      <c r="L6" s="20"/>
      <c r="M6" s="20"/>
      <c r="N6" s="21"/>
      <c r="O6" s="21"/>
      <c r="P6" s="15">
        <f t="shared" si="0"/>
        <v>15117.51</v>
      </c>
      <c r="Q6" s="20"/>
      <c r="R6" s="20"/>
      <c r="S6" s="20"/>
      <c r="T6" s="12">
        <f t="shared" si="1"/>
        <v>1044.2257000000002</v>
      </c>
      <c r="U6" s="12">
        <v>2373.7416400000002</v>
      </c>
      <c r="V6" s="22"/>
      <c r="W6" s="23"/>
      <c r="X6" s="23"/>
      <c r="Y6" s="23"/>
      <c r="Z6" s="23"/>
      <c r="AA6" s="17">
        <f t="shared" si="2"/>
        <v>3417.9673400000001</v>
      </c>
      <c r="AB6" s="18">
        <f t="shared" si="3"/>
        <v>11699.542659999999</v>
      </c>
    </row>
    <row r="7" spans="2:28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13">
        <v>900</v>
      </c>
      <c r="G7" s="13">
        <v>900</v>
      </c>
      <c r="H7" s="13">
        <v>900</v>
      </c>
      <c r="I7" s="13">
        <v>3000</v>
      </c>
      <c r="J7" s="20">
        <v>3341.8</v>
      </c>
      <c r="K7" s="20">
        <v>733</v>
      </c>
      <c r="L7" s="13"/>
      <c r="M7" s="20"/>
      <c r="N7" s="21">
        <f>(E7/15)*2</f>
        <v>2002.9466666666667</v>
      </c>
      <c r="O7" s="21">
        <f t="shared" ref="O7:O16" si="4">(E7/15)*4</f>
        <v>4005.8933333333334</v>
      </c>
      <c r="P7" s="15">
        <f t="shared" si="0"/>
        <v>30805.739999999998</v>
      </c>
      <c r="Q7" s="20"/>
      <c r="R7" s="20"/>
      <c r="S7" s="20"/>
      <c r="T7" s="12">
        <f t="shared" si="1"/>
        <v>1051.547</v>
      </c>
      <c r="U7" s="12">
        <v>3900.4815840000001</v>
      </c>
      <c r="V7" s="22"/>
      <c r="W7" s="23"/>
      <c r="X7" s="23"/>
      <c r="Y7" s="23"/>
      <c r="Z7" s="23"/>
      <c r="AA7" s="17">
        <f t="shared" si="2"/>
        <v>4952.0285839999997</v>
      </c>
      <c r="AB7" s="18">
        <f t="shared" si="3"/>
        <v>25853.711415999998</v>
      </c>
    </row>
    <row r="8" spans="2:28" ht="15" customHeight="1" x14ac:dyDescent="0.25">
      <c r="B8" s="8" t="s">
        <v>88</v>
      </c>
      <c r="C8" s="9" t="s">
        <v>28</v>
      </c>
      <c r="D8" s="10">
        <v>13</v>
      </c>
      <c r="E8" s="11">
        <v>15022.1</v>
      </c>
      <c r="F8" s="13">
        <v>900</v>
      </c>
      <c r="G8" s="13">
        <v>900</v>
      </c>
      <c r="H8" s="13">
        <v>900</v>
      </c>
      <c r="I8" s="13">
        <v>3000</v>
      </c>
      <c r="J8" s="20">
        <v>3341.8</v>
      </c>
      <c r="K8" s="20">
        <v>733</v>
      </c>
      <c r="L8" s="13"/>
      <c r="M8" s="20"/>
      <c r="N8" s="21"/>
      <c r="O8" s="21">
        <f t="shared" si="4"/>
        <v>4005.8933333333334</v>
      </c>
      <c r="P8" s="15">
        <f t="shared" si="0"/>
        <v>28802.793333333331</v>
      </c>
      <c r="Q8" s="20"/>
      <c r="R8" s="20"/>
      <c r="S8" s="20"/>
      <c r="T8" s="12">
        <f t="shared" si="1"/>
        <v>1051.547</v>
      </c>
      <c r="U8" s="12">
        <v>3664.9350560000003</v>
      </c>
      <c r="V8" s="22"/>
      <c r="W8" s="23"/>
      <c r="X8" s="17">
        <v>1826.6</v>
      </c>
      <c r="Y8" s="23"/>
      <c r="Z8" s="23"/>
      <c r="AA8" s="17">
        <f t="shared" si="2"/>
        <v>6543.0820560000011</v>
      </c>
      <c r="AB8" s="18">
        <f t="shared" si="3"/>
        <v>22259.711277333328</v>
      </c>
    </row>
    <row r="9" spans="2:28" ht="15" customHeight="1" x14ac:dyDescent="0.25">
      <c r="B9" s="8" t="s">
        <v>89</v>
      </c>
      <c r="C9" s="9" t="s">
        <v>30</v>
      </c>
      <c r="D9" s="10">
        <v>10</v>
      </c>
      <c r="E9" s="11">
        <v>15424.35954953621</v>
      </c>
      <c r="F9" s="13">
        <v>1100</v>
      </c>
      <c r="G9" s="13">
        <v>1133</v>
      </c>
      <c r="H9" s="13">
        <v>1140</v>
      </c>
      <c r="I9" s="13">
        <v>1150</v>
      </c>
      <c r="J9" s="20">
        <v>1934.8</v>
      </c>
      <c r="K9" s="20">
        <v>787</v>
      </c>
      <c r="L9" s="13"/>
      <c r="M9" s="20">
        <v>945</v>
      </c>
      <c r="N9" s="21">
        <f>(E9/15)*2</f>
        <v>2056.5812732714944</v>
      </c>
      <c r="O9" s="21">
        <f t="shared" si="4"/>
        <v>4113.1625465429888</v>
      </c>
      <c r="P9" s="15">
        <f t="shared" si="0"/>
        <v>29783.903369350694</v>
      </c>
      <c r="Q9" s="20"/>
      <c r="R9" s="20"/>
      <c r="S9" s="20">
        <f t="shared" ref="S9:S16" si="5">(E9*0.07)</f>
        <v>1079.7051684675348</v>
      </c>
      <c r="T9" s="12">
        <f t="shared" si="1"/>
        <v>1079.7051684675348</v>
      </c>
      <c r="U9" s="12">
        <v>3748.4745192610999</v>
      </c>
      <c r="V9" s="22"/>
      <c r="W9" s="23"/>
      <c r="X9" s="23"/>
      <c r="Y9" s="23"/>
      <c r="Z9" s="23"/>
      <c r="AA9" s="17">
        <f t="shared" si="2"/>
        <v>5907.8848561961695</v>
      </c>
      <c r="AB9" s="18">
        <f t="shared" si="3"/>
        <v>23876.018513154522</v>
      </c>
    </row>
    <row r="10" spans="2:28" ht="15" customHeight="1" x14ac:dyDescent="0.25">
      <c r="B10" s="8" t="s">
        <v>89</v>
      </c>
      <c r="C10" s="9" t="s">
        <v>31</v>
      </c>
      <c r="D10" s="10">
        <v>8</v>
      </c>
      <c r="E10" s="11">
        <v>13360.854858749999</v>
      </c>
      <c r="F10" s="13">
        <v>1100</v>
      </c>
      <c r="G10" s="13">
        <v>1133</v>
      </c>
      <c r="H10" s="13">
        <v>1140</v>
      </c>
      <c r="I10" s="13">
        <v>1000</v>
      </c>
      <c r="J10" s="12">
        <v>1677.2</v>
      </c>
      <c r="K10" s="12">
        <f>662+100</f>
        <v>762</v>
      </c>
      <c r="L10" s="13">
        <v>325</v>
      </c>
      <c r="M10" s="13">
        <v>838</v>
      </c>
      <c r="N10" s="21">
        <f>(E10/15)*2</f>
        <v>1781.4473144999999</v>
      </c>
      <c r="O10" s="21">
        <f t="shared" si="4"/>
        <v>3562.8946289999999</v>
      </c>
      <c r="P10" s="15">
        <f>SUM(E10:O10)</f>
        <v>26680.396802249998</v>
      </c>
      <c r="Q10" s="20">
        <f t="shared" ref="Q10:Q15" si="6">(E10*0.01)</f>
        <v>133.6085485875</v>
      </c>
      <c r="R10" s="20">
        <f>1000</f>
        <v>1000</v>
      </c>
      <c r="S10" s="20">
        <f t="shared" si="5"/>
        <v>935.2598401125</v>
      </c>
      <c r="T10" s="12">
        <f t="shared" si="1"/>
        <v>935.2598401125</v>
      </c>
      <c r="U10" s="12">
        <v>3179.0539953336001</v>
      </c>
      <c r="V10" s="22"/>
      <c r="W10" s="23"/>
      <c r="X10" s="17"/>
      <c r="Y10" s="23">
        <f>966.64</f>
        <v>966.64</v>
      </c>
      <c r="Z10" s="23"/>
      <c r="AA10" s="17">
        <f t="shared" si="2"/>
        <v>7149.8222241461008</v>
      </c>
      <c r="AB10" s="18">
        <f t="shared" si="3"/>
        <v>19530.574578103897</v>
      </c>
    </row>
    <row r="11" spans="2:28" x14ac:dyDescent="0.25">
      <c r="B11" s="8" t="s">
        <v>89</v>
      </c>
      <c r="C11" s="25" t="s">
        <v>33</v>
      </c>
      <c r="D11" s="26">
        <v>7</v>
      </c>
      <c r="E11" s="11">
        <v>12482.481170250001</v>
      </c>
      <c r="F11" s="13">
        <v>1100</v>
      </c>
      <c r="G11" s="13">
        <v>1133</v>
      </c>
      <c r="H11" s="13">
        <v>1140</v>
      </c>
      <c r="I11" s="13"/>
      <c r="J11" s="12">
        <v>1565.2</v>
      </c>
      <c r="K11" s="12">
        <f>651+100</f>
        <v>751</v>
      </c>
      <c r="L11" s="20"/>
      <c r="M11" s="20">
        <v>793</v>
      </c>
      <c r="N11" s="21">
        <f>(E11/15)*2</f>
        <v>1664.3308227000002</v>
      </c>
      <c r="O11" s="21">
        <f t="shared" si="4"/>
        <v>3328.6616454000005</v>
      </c>
      <c r="P11" s="15">
        <f t="shared" si="0"/>
        <v>23957.673638350003</v>
      </c>
      <c r="Q11" s="20">
        <f t="shared" si="6"/>
        <v>124.82481170250001</v>
      </c>
      <c r="R11" s="20"/>
      <c r="S11" s="20">
        <f t="shared" si="5"/>
        <v>873.7736819175002</v>
      </c>
      <c r="T11" s="12">
        <f t="shared" si="1"/>
        <v>873.7736819175002</v>
      </c>
      <c r="U11" s="12">
        <v>2717.3450054913606</v>
      </c>
      <c r="V11" s="22"/>
      <c r="W11" s="23"/>
      <c r="X11" s="22">
        <v>3895.6</v>
      </c>
      <c r="Y11" s="22"/>
      <c r="Z11" s="22"/>
      <c r="AA11" s="17">
        <f t="shared" si="2"/>
        <v>8485.3171810288604</v>
      </c>
      <c r="AB11" s="18">
        <f t="shared" si="3"/>
        <v>15472.356457321142</v>
      </c>
    </row>
    <row r="12" spans="2:28" x14ac:dyDescent="0.25">
      <c r="B12" s="8" t="s">
        <v>89</v>
      </c>
      <c r="C12" s="9" t="s">
        <v>35</v>
      </c>
      <c r="D12" s="10">
        <v>5</v>
      </c>
      <c r="E12" s="11">
        <v>10948.878517500001</v>
      </c>
      <c r="F12" s="13">
        <v>1100</v>
      </c>
      <c r="G12" s="13">
        <v>1133</v>
      </c>
      <c r="H12" s="13">
        <v>1140</v>
      </c>
      <c r="I12" s="13"/>
      <c r="J12" s="13">
        <v>1241.8</v>
      </c>
      <c r="K12" s="13">
        <f>632+100</f>
        <v>732</v>
      </c>
      <c r="L12" s="13">
        <v>150</v>
      </c>
      <c r="M12" s="20">
        <v>713</v>
      </c>
      <c r="N12" s="21">
        <f>(E12/15)*2</f>
        <v>1459.8504690000002</v>
      </c>
      <c r="O12" s="21">
        <f t="shared" si="4"/>
        <v>2919.7009380000004</v>
      </c>
      <c r="P12" s="15">
        <f t="shared" si="0"/>
        <v>21538.229924500003</v>
      </c>
      <c r="Q12" s="20">
        <f t="shared" si="6"/>
        <v>109.48878517500002</v>
      </c>
      <c r="R12" s="20">
        <f>500</f>
        <v>500</v>
      </c>
      <c r="S12" s="20">
        <f t="shared" si="5"/>
        <v>766.42149622500017</v>
      </c>
      <c r="T12" s="12">
        <f t="shared" si="1"/>
        <v>766.42149622500017</v>
      </c>
      <c r="U12" s="12">
        <v>2291.4082856056007</v>
      </c>
      <c r="V12" s="22"/>
      <c r="W12" s="23"/>
      <c r="X12" s="23"/>
      <c r="Y12" s="23"/>
      <c r="Z12" s="23"/>
      <c r="AA12" s="17">
        <f t="shared" si="2"/>
        <v>4433.7400632306017</v>
      </c>
      <c r="AB12" s="18">
        <f t="shared" si="3"/>
        <v>17104.489861269401</v>
      </c>
    </row>
    <row r="13" spans="2:28" x14ac:dyDescent="0.25">
      <c r="B13" s="8" t="s">
        <v>89</v>
      </c>
      <c r="C13" s="9" t="s">
        <v>36</v>
      </c>
      <c r="D13" s="10">
        <v>4</v>
      </c>
      <c r="E13" s="11">
        <v>9610.9981694999988</v>
      </c>
      <c r="F13" s="13">
        <v>1100</v>
      </c>
      <c r="G13" s="13">
        <v>1133</v>
      </c>
      <c r="H13" s="13">
        <v>1140</v>
      </c>
      <c r="I13" s="13"/>
      <c r="J13" s="13">
        <v>845.6</v>
      </c>
      <c r="K13" s="13">
        <f>615+100</f>
        <v>715</v>
      </c>
      <c r="L13" s="13">
        <v>150</v>
      </c>
      <c r="M13" s="20">
        <v>644</v>
      </c>
      <c r="N13" s="21"/>
      <c r="O13" s="21">
        <f t="shared" si="4"/>
        <v>2562.9328451999995</v>
      </c>
      <c r="P13" s="15">
        <f t="shared" si="0"/>
        <v>17901.531014699998</v>
      </c>
      <c r="Q13" s="20">
        <f t="shared" si="6"/>
        <v>96.109981694999988</v>
      </c>
      <c r="R13" s="20"/>
      <c r="S13" s="20">
        <f t="shared" si="5"/>
        <v>672.76987186500003</v>
      </c>
      <c r="T13" s="12">
        <f t="shared" si="1"/>
        <v>672.76987186500003</v>
      </c>
      <c r="U13" s="12">
        <v>1760.1232208725598</v>
      </c>
      <c r="V13" s="22"/>
      <c r="W13" s="23"/>
      <c r="X13" s="23"/>
      <c r="Y13" s="23"/>
      <c r="Z13" s="23"/>
      <c r="AA13" s="17">
        <f t="shared" si="2"/>
        <v>3201.7729462975599</v>
      </c>
      <c r="AB13" s="18">
        <f t="shared" si="3"/>
        <v>14699.758068402438</v>
      </c>
    </row>
    <row r="14" spans="2:28" x14ac:dyDescent="0.25">
      <c r="B14" s="8" t="s">
        <v>89</v>
      </c>
      <c r="C14" s="9" t="s">
        <v>37</v>
      </c>
      <c r="D14" s="10">
        <v>4</v>
      </c>
      <c r="E14" s="11">
        <v>9610.9981694999988</v>
      </c>
      <c r="F14" s="13">
        <v>1100</v>
      </c>
      <c r="G14" s="13">
        <v>1133</v>
      </c>
      <c r="H14" s="13">
        <v>1140</v>
      </c>
      <c r="I14" s="13"/>
      <c r="J14" s="13">
        <v>845.6</v>
      </c>
      <c r="K14" s="13">
        <f>615+100</f>
        <v>715</v>
      </c>
      <c r="L14" s="13">
        <v>150</v>
      </c>
      <c r="M14" s="20">
        <v>644</v>
      </c>
      <c r="N14" s="21">
        <f>(E14/15)*2</f>
        <v>1281.4664225999998</v>
      </c>
      <c r="O14" s="21">
        <f t="shared" si="4"/>
        <v>2562.9328451999995</v>
      </c>
      <c r="P14" s="15">
        <f t="shared" si="0"/>
        <v>19182.9974373</v>
      </c>
      <c r="Q14" s="20">
        <f t="shared" si="6"/>
        <v>96.109981694999988</v>
      </c>
      <c r="R14" s="20">
        <f>500</f>
        <v>500</v>
      </c>
      <c r="S14" s="20">
        <f t="shared" si="5"/>
        <v>672.76987186500003</v>
      </c>
      <c r="T14" s="12">
        <f t="shared" si="1"/>
        <v>672.76987186500003</v>
      </c>
      <c r="U14" s="12">
        <v>1896.9838348062399</v>
      </c>
      <c r="V14" s="22"/>
      <c r="W14" s="23"/>
      <c r="X14" s="23"/>
      <c r="Y14" s="23"/>
      <c r="Z14" s="23"/>
      <c r="AA14" s="17">
        <f t="shared" si="2"/>
        <v>3838.6335602312397</v>
      </c>
      <c r="AB14" s="18">
        <f t="shared" si="3"/>
        <v>15344.363877068761</v>
      </c>
    </row>
    <row r="15" spans="2:28" x14ac:dyDescent="0.25">
      <c r="B15" s="8" t="s">
        <v>89</v>
      </c>
      <c r="C15" s="9" t="s">
        <v>39</v>
      </c>
      <c r="D15" s="10">
        <v>2</v>
      </c>
      <c r="E15" s="11">
        <v>8024.8779607499991</v>
      </c>
      <c r="F15" s="13">
        <v>1100</v>
      </c>
      <c r="G15" s="13">
        <v>1133</v>
      </c>
      <c r="H15" s="13">
        <v>1140</v>
      </c>
      <c r="I15" s="13"/>
      <c r="J15" s="13">
        <v>704.2</v>
      </c>
      <c r="K15" s="13">
        <f>595+100</f>
        <v>695</v>
      </c>
      <c r="L15" s="13">
        <v>150</v>
      </c>
      <c r="M15" s="20">
        <v>561</v>
      </c>
      <c r="N15" s="21">
        <f>(E15/15)*2</f>
        <v>1069.9837280999998</v>
      </c>
      <c r="O15" s="21">
        <f t="shared" si="4"/>
        <v>2139.9674561999996</v>
      </c>
      <c r="P15" s="15">
        <f t="shared" si="0"/>
        <v>16718.029145050001</v>
      </c>
      <c r="Q15" s="20">
        <f t="shared" si="6"/>
        <v>80.248779607499998</v>
      </c>
      <c r="R15" s="20">
        <f>500</f>
        <v>500</v>
      </c>
      <c r="S15" s="20">
        <f t="shared" si="5"/>
        <v>561.74145725250003</v>
      </c>
      <c r="T15" s="12">
        <f t="shared" si="1"/>
        <v>561.74145725250003</v>
      </c>
      <c r="U15" s="12">
        <v>1464.3275828994397</v>
      </c>
      <c r="V15" s="22"/>
      <c r="W15" s="23"/>
      <c r="X15" s="23"/>
      <c r="Y15" s="23">
        <f>966.64</f>
        <v>966.64</v>
      </c>
      <c r="Z15" s="23">
        <f>1933.28</f>
        <v>1933.28</v>
      </c>
      <c r="AA15" s="17">
        <f t="shared" si="2"/>
        <v>6067.9792770119393</v>
      </c>
      <c r="AB15" s="18">
        <f t="shared" si="3"/>
        <v>10650.049868038062</v>
      </c>
    </row>
    <row r="16" spans="2:28" ht="22.5" x14ac:dyDescent="0.25">
      <c r="B16" s="8" t="s">
        <v>89</v>
      </c>
      <c r="C16" s="9" t="s">
        <v>41</v>
      </c>
      <c r="D16" s="10">
        <v>1</v>
      </c>
      <c r="E16" s="11">
        <v>7531.9769857499987</v>
      </c>
      <c r="F16" s="13">
        <v>1100</v>
      </c>
      <c r="G16" s="13">
        <v>1133</v>
      </c>
      <c r="H16" s="13">
        <v>1140</v>
      </c>
      <c r="I16" s="13"/>
      <c r="J16" s="13">
        <v>658</v>
      </c>
      <c r="K16" s="13">
        <f>589+100</f>
        <v>689</v>
      </c>
      <c r="L16" s="13">
        <v>150</v>
      </c>
      <c r="M16" s="20">
        <v>536</v>
      </c>
      <c r="N16" s="21">
        <f>(E16/15)*2</f>
        <v>1004.2635980999999</v>
      </c>
      <c r="O16" s="21">
        <f t="shared" si="4"/>
        <v>2008.5271961999997</v>
      </c>
      <c r="P16" s="15">
        <f t="shared" si="0"/>
        <v>15950.767780049999</v>
      </c>
      <c r="Q16" s="20"/>
      <c r="R16" s="20"/>
      <c r="S16" s="20">
        <f t="shared" si="5"/>
        <v>527.23838900249996</v>
      </c>
      <c r="T16" s="12">
        <f t="shared" si="1"/>
        <v>527.23838900249996</v>
      </c>
      <c r="U16" s="12">
        <v>1329.74224498744</v>
      </c>
      <c r="V16" s="22"/>
      <c r="W16" s="23"/>
      <c r="X16" s="23">
        <v>2735.66</v>
      </c>
      <c r="Y16" s="23"/>
      <c r="Z16" s="23"/>
      <c r="AA16" s="17">
        <f t="shared" si="2"/>
        <v>5119.8790229924398</v>
      </c>
      <c r="AB16" s="18">
        <f t="shared" si="3"/>
        <v>10830.888757057559</v>
      </c>
    </row>
    <row r="17" spans="2:29" ht="22.5" x14ac:dyDescent="0.25">
      <c r="B17" s="8" t="s">
        <v>90</v>
      </c>
      <c r="C17" s="9" t="s">
        <v>42</v>
      </c>
      <c r="D17" s="10"/>
      <c r="E17" s="11">
        <v>6069.96</v>
      </c>
      <c r="F17" s="27"/>
      <c r="G17" s="27"/>
      <c r="H17" s="27"/>
      <c r="I17" s="27"/>
      <c r="J17" s="28"/>
      <c r="K17" s="28"/>
      <c r="L17" s="27"/>
      <c r="M17" s="28"/>
      <c r="N17" s="29"/>
      <c r="O17" s="29"/>
      <c r="P17" s="15">
        <f t="shared" si="0"/>
        <v>6069.96</v>
      </c>
      <c r="Q17" s="20"/>
      <c r="R17" s="28"/>
      <c r="S17" s="28"/>
      <c r="T17" s="12"/>
      <c r="U17" s="12">
        <v>527.76699999999994</v>
      </c>
      <c r="V17" s="22"/>
      <c r="W17" s="23"/>
      <c r="X17" s="23"/>
      <c r="Y17" s="23"/>
      <c r="Z17" s="23"/>
      <c r="AA17" s="17">
        <f t="shared" si="2"/>
        <v>527.76699999999994</v>
      </c>
      <c r="AB17" s="18">
        <f t="shared" si="3"/>
        <v>5542.1930000000002</v>
      </c>
    </row>
    <row r="18" spans="2:29" x14ac:dyDescent="0.25">
      <c r="B18" s="8" t="s">
        <v>44</v>
      </c>
      <c r="C18" s="25" t="s">
        <v>45</v>
      </c>
      <c r="D18" s="31"/>
      <c r="E18" s="32">
        <f>24876/2</f>
        <v>12438</v>
      </c>
      <c r="F18" s="27"/>
      <c r="G18" s="27"/>
      <c r="H18" s="27"/>
      <c r="I18" s="27"/>
      <c r="J18" s="28"/>
      <c r="K18" s="28"/>
      <c r="L18" s="27"/>
      <c r="M18" s="28"/>
      <c r="N18" s="28"/>
      <c r="O18" s="29"/>
      <c r="P18" s="15">
        <f>SUM(E18:N18)</f>
        <v>12438</v>
      </c>
      <c r="Q18" s="28"/>
      <c r="R18" s="28"/>
      <c r="S18" s="28"/>
      <c r="T18" s="32"/>
      <c r="U18" s="28">
        <v>1936</v>
      </c>
      <c r="V18" s="33"/>
      <c r="W18" s="34"/>
      <c r="X18" s="34"/>
      <c r="Y18" s="34"/>
      <c r="Z18" s="34"/>
      <c r="AA18" s="17">
        <f t="shared" si="2"/>
        <v>1936</v>
      </c>
      <c r="AB18" s="18">
        <f t="shared" si="3"/>
        <v>10502</v>
      </c>
    </row>
    <row r="19" spans="2:29" ht="15.75" thickBot="1" x14ac:dyDescent="0.3">
      <c r="B19" s="35" t="s">
        <v>46</v>
      </c>
      <c r="C19" s="36"/>
      <c r="D19" s="37"/>
      <c r="E19" s="38">
        <f t="shared" ref="E19:AB19" si="7">SUM(E4:E18)</f>
        <v>184669.29538153618</v>
      </c>
      <c r="F19" s="38">
        <f t="shared" si="7"/>
        <v>11200</v>
      </c>
      <c r="G19" s="38">
        <f t="shared" si="7"/>
        <v>10864</v>
      </c>
      <c r="H19" s="38">
        <f t="shared" si="7"/>
        <v>10920</v>
      </c>
      <c r="I19" s="38">
        <f t="shared" si="7"/>
        <v>8150</v>
      </c>
      <c r="J19" s="38">
        <f t="shared" si="7"/>
        <v>16156.000000000002</v>
      </c>
      <c r="K19" s="38">
        <f t="shared" si="7"/>
        <v>7312</v>
      </c>
      <c r="L19" s="38">
        <f t="shared" si="7"/>
        <v>1075</v>
      </c>
      <c r="M19" s="38">
        <f t="shared" si="7"/>
        <v>5674</v>
      </c>
      <c r="N19" s="38">
        <f t="shared" si="7"/>
        <v>12320.870294938162</v>
      </c>
      <c r="O19" s="38">
        <f t="shared" si="7"/>
        <v>31210.566768409662</v>
      </c>
      <c r="P19" s="38">
        <f t="shared" si="7"/>
        <v>299551.73244488402</v>
      </c>
      <c r="Q19" s="38">
        <f t="shared" si="7"/>
        <v>640.39088846250002</v>
      </c>
      <c r="R19" s="38">
        <f t="shared" si="7"/>
        <v>2500</v>
      </c>
      <c r="S19" s="38">
        <f t="shared" si="7"/>
        <v>6089.6797767075359</v>
      </c>
      <c r="T19" s="38">
        <f t="shared" si="7"/>
        <v>11631.293476707539</v>
      </c>
      <c r="U19" s="38">
        <f t="shared" si="7"/>
        <v>36552.522697257344</v>
      </c>
      <c r="V19" s="38">
        <f t="shared" si="7"/>
        <v>0</v>
      </c>
      <c r="W19" s="38">
        <f t="shared" si="7"/>
        <v>0</v>
      </c>
      <c r="X19" s="38">
        <f t="shared" si="7"/>
        <v>11675.039999999999</v>
      </c>
      <c r="Y19" s="38">
        <f t="shared" si="7"/>
        <v>1933.28</v>
      </c>
      <c r="Z19" s="38">
        <f t="shared" si="7"/>
        <v>1933.28</v>
      </c>
      <c r="AA19" s="38">
        <f t="shared" si="7"/>
        <v>72955.48683913493</v>
      </c>
      <c r="AB19" s="38">
        <f t="shared" si="7"/>
        <v>226596.24560574911</v>
      </c>
      <c r="AC19" s="19"/>
    </row>
    <row r="20" spans="2:29" x14ac:dyDescent="0.25"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9" spans="2:29" x14ac:dyDescent="0.25">
      <c r="B29" t="s">
        <v>87</v>
      </c>
      <c r="C29" t="s">
        <v>91</v>
      </c>
    </row>
    <row r="30" spans="2:29" x14ac:dyDescent="0.25">
      <c r="B30" t="s">
        <v>88</v>
      </c>
      <c r="C30" t="s">
        <v>92</v>
      </c>
    </row>
    <row r="31" spans="2:29" x14ac:dyDescent="0.25">
      <c r="B31" t="s">
        <v>89</v>
      </c>
      <c r="C31" t="s">
        <v>93</v>
      </c>
    </row>
    <row r="32" spans="2:29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3"/>
  <sheetViews>
    <sheetView topLeftCell="A16" workbookViewId="0">
      <selection activeCell="S25" sqref="S25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9.28515625" bestFit="1" customWidth="1"/>
    <col min="7" max="14" width="8.7109375" customWidth="1"/>
    <col min="15" max="15" width="12.5703125" bestFit="1" customWidth="1"/>
    <col min="16" max="16" width="7.42578125" customWidth="1"/>
    <col min="17" max="18" width="8.7109375" bestFit="1" customWidth="1"/>
    <col min="19" max="19" width="9" customWidth="1"/>
    <col min="20" max="20" width="9.5703125" customWidth="1"/>
    <col min="21" max="21" width="8.5703125" customWidth="1"/>
    <col min="22" max="23" width="10.140625" customWidth="1"/>
    <col min="24" max="24" width="9.5703125" customWidth="1"/>
    <col min="25" max="25" width="12.5703125" bestFit="1" customWidth="1"/>
    <col min="26" max="26" width="14.140625" bestFit="1" customWidth="1"/>
  </cols>
  <sheetData>
    <row r="1" spans="2:25" ht="18.75" x14ac:dyDescent="0.25">
      <c r="E1" s="1"/>
      <c r="F1" s="2" t="s">
        <v>102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2:25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</row>
    <row r="3" spans="2:25" ht="48.75" customHeight="1" x14ac:dyDescent="0.25">
      <c r="B3" s="47"/>
      <c r="C3" s="47" t="s">
        <v>1</v>
      </c>
      <c r="D3" s="47" t="s">
        <v>2</v>
      </c>
      <c r="E3" s="54" t="s">
        <v>3</v>
      </c>
      <c r="F3" s="55" t="s">
        <v>47</v>
      </c>
      <c r="G3" s="55" t="s">
        <v>48</v>
      </c>
      <c r="H3" s="55" t="s">
        <v>49</v>
      </c>
      <c r="I3" s="55" t="s">
        <v>50</v>
      </c>
      <c r="J3" s="55" t="s">
        <v>51</v>
      </c>
      <c r="K3" s="55" t="s">
        <v>52</v>
      </c>
      <c r="L3" s="55" t="s">
        <v>11</v>
      </c>
      <c r="M3" s="55" t="s">
        <v>53</v>
      </c>
      <c r="N3" s="61" t="s">
        <v>14</v>
      </c>
      <c r="O3" s="48" t="s">
        <v>96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7" t="s">
        <v>22</v>
      </c>
      <c r="V3" s="49" t="s">
        <v>83</v>
      </c>
      <c r="W3" s="49" t="s">
        <v>84</v>
      </c>
      <c r="X3" s="49" t="s">
        <v>85</v>
      </c>
      <c r="Y3" s="50" t="s">
        <v>86</v>
      </c>
    </row>
    <row r="4" spans="2:25" x14ac:dyDescent="0.25">
      <c r="B4" s="8" t="s">
        <v>87</v>
      </c>
      <c r="C4" s="9" t="s">
        <v>23</v>
      </c>
      <c r="D4" s="10">
        <v>17</v>
      </c>
      <c r="E4" s="11">
        <v>19286.689999999999</v>
      </c>
      <c r="F4" s="13"/>
      <c r="G4" s="12">
        <v>300</v>
      </c>
      <c r="H4" s="13"/>
      <c r="I4" s="12"/>
      <c r="J4" s="12"/>
      <c r="K4" s="12"/>
      <c r="L4" s="12"/>
      <c r="M4" s="12"/>
      <c r="N4" s="14">
        <f>(E4/15)*3</f>
        <v>3857.3379999999997</v>
      </c>
      <c r="O4" s="15">
        <f>SUM(E4:N4)</f>
        <v>23444.027999999998</v>
      </c>
      <c r="P4" s="12"/>
      <c r="Q4" s="12"/>
      <c r="R4" s="12"/>
      <c r="S4" s="12">
        <f>(E4*0.07)</f>
        <v>1350.0683000000001</v>
      </c>
      <c r="T4" s="12">
        <v>3853.7800367999989</v>
      </c>
      <c r="U4" s="17">
        <v>1826.6</v>
      </c>
      <c r="V4" s="17"/>
      <c r="W4" s="17"/>
      <c r="X4" s="17">
        <f>SUM(P4:W4)</f>
        <v>7030.4483367999983</v>
      </c>
      <c r="Y4" s="18">
        <f>+O4-X4</f>
        <v>16413.579663199998</v>
      </c>
    </row>
    <row r="5" spans="2:25" x14ac:dyDescent="0.25">
      <c r="B5" s="8" t="s">
        <v>87</v>
      </c>
      <c r="C5" s="9" t="s">
        <v>24</v>
      </c>
      <c r="D5" s="10">
        <v>14</v>
      </c>
      <c r="E5" s="11">
        <v>14917.51</v>
      </c>
      <c r="F5" s="13"/>
      <c r="G5" s="20">
        <v>300</v>
      </c>
      <c r="H5" s="13"/>
      <c r="I5" s="20"/>
      <c r="J5" s="20"/>
      <c r="K5" s="20"/>
      <c r="L5" s="20"/>
      <c r="M5" s="20"/>
      <c r="N5" s="14">
        <f>(E5/15)*3</f>
        <v>2983.502</v>
      </c>
      <c r="O5" s="15">
        <f>SUM(E5:N5)</f>
        <v>18201.011999999999</v>
      </c>
      <c r="P5" s="20"/>
      <c r="Q5" s="20"/>
      <c r="R5" s="20"/>
      <c r="S5" s="12">
        <f>(E5*0.07)</f>
        <v>1044.2257000000002</v>
      </c>
      <c r="T5" s="20">
        <v>2723.3857871999994</v>
      </c>
      <c r="U5" s="17">
        <v>1390.58</v>
      </c>
      <c r="V5" s="23"/>
      <c r="W5" s="23"/>
      <c r="X5" s="17">
        <f>SUM(P5:W5)</f>
        <v>5158.1914871999998</v>
      </c>
      <c r="Y5" s="18">
        <f>+O5-X5</f>
        <v>13042.820512799999</v>
      </c>
    </row>
    <row r="6" spans="2:25" x14ac:dyDescent="0.25">
      <c r="B6" s="8" t="s">
        <v>87</v>
      </c>
      <c r="C6" s="9" t="s">
        <v>25</v>
      </c>
      <c r="D6" s="10">
        <v>14</v>
      </c>
      <c r="E6" s="11">
        <v>14917.51</v>
      </c>
      <c r="F6" s="13"/>
      <c r="G6" s="20">
        <v>300</v>
      </c>
      <c r="H6" s="13"/>
      <c r="I6" s="20"/>
      <c r="J6" s="20"/>
      <c r="K6" s="20"/>
      <c r="L6" s="20"/>
      <c r="M6" s="20"/>
      <c r="N6" s="14">
        <f>(E6/15)*3</f>
        <v>2983.502</v>
      </c>
      <c r="O6" s="15">
        <f>SUM(E6:N6)</f>
        <v>18201.011999999999</v>
      </c>
      <c r="P6" s="20"/>
      <c r="Q6" s="20"/>
      <c r="R6" s="20"/>
      <c r="S6" s="12">
        <f>(E6*0.07)</f>
        <v>1044.2257000000002</v>
      </c>
      <c r="T6" s="20">
        <v>2723.3857871999994</v>
      </c>
      <c r="U6" s="23"/>
      <c r="V6" s="23"/>
      <c r="W6" s="23"/>
      <c r="X6" s="17">
        <f>SUM(P6:W6)</f>
        <v>3767.6114871999998</v>
      </c>
      <c r="Y6" s="18">
        <f>+O6-X6</f>
        <v>14433.400512799999</v>
      </c>
    </row>
    <row r="7" spans="2:25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43">
        <v>900</v>
      </c>
      <c r="G7" s="43">
        <v>900</v>
      </c>
      <c r="H7" s="43">
        <v>900</v>
      </c>
      <c r="I7" s="13">
        <v>1000</v>
      </c>
      <c r="J7" s="20"/>
      <c r="K7" s="20">
        <v>750</v>
      </c>
      <c r="L7" s="13"/>
      <c r="M7" s="20"/>
      <c r="N7" s="14">
        <f>(E7/15)*3</f>
        <v>3004.42</v>
      </c>
      <c r="O7" s="15">
        <f>SUM(E7:N7)</f>
        <v>22476.519999999997</v>
      </c>
      <c r="P7" s="20"/>
      <c r="Q7" s="20"/>
      <c r="R7" s="20"/>
      <c r="S7" s="12">
        <f>(E7*0.07)</f>
        <v>1051.547</v>
      </c>
      <c r="T7" s="20">
        <v>3132.6453119999996</v>
      </c>
      <c r="U7" s="23"/>
      <c r="V7" s="23"/>
      <c r="W7" s="23"/>
      <c r="X7" s="17">
        <f>SUM(P7:W7)</f>
        <v>4184.1923119999992</v>
      </c>
      <c r="Y7" s="18">
        <f>+O7-X7</f>
        <v>18292.327687999998</v>
      </c>
    </row>
    <row r="8" spans="2:25" ht="15" customHeight="1" x14ac:dyDescent="0.25">
      <c r="B8" s="8" t="s">
        <v>88</v>
      </c>
      <c r="C8" s="9" t="s">
        <v>28</v>
      </c>
      <c r="D8" s="10">
        <v>13</v>
      </c>
      <c r="E8" s="11">
        <v>15022.1</v>
      </c>
      <c r="F8" s="43">
        <v>900</v>
      </c>
      <c r="G8" s="43">
        <v>900</v>
      </c>
      <c r="H8" s="43">
        <v>900</v>
      </c>
      <c r="I8" s="13">
        <v>1000</v>
      </c>
      <c r="J8" s="20"/>
      <c r="K8" s="20">
        <v>750</v>
      </c>
      <c r="L8" s="13"/>
      <c r="M8" s="20"/>
      <c r="N8" s="14">
        <f>(E8/15)*3</f>
        <v>3004.42</v>
      </c>
      <c r="O8" s="15">
        <f>SUM(E8:N8)</f>
        <v>22476.519999999997</v>
      </c>
      <c r="P8" s="20"/>
      <c r="Q8" s="20"/>
      <c r="R8" s="20"/>
      <c r="S8" s="12">
        <f>(E8*0.07)</f>
        <v>1051.547</v>
      </c>
      <c r="T8" s="20">
        <v>3132.6453119999996</v>
      </c>
      <c r="U8" s="17">
        <v>1826.6</v>
      </c>
      <c r="V8" s="23"/>
      <c r="W8" s="23"/>
      <c r="X8" s="17">
        <f>SUM(P8:W8)</f>
        <v>6010.7923119999996</v>
      </c>
      <c r="Y8" s="18">
        <f>+O8-X8</f>
        <v>16465.727687999999</v>
      </c>
    </row>
    <row r="9" spans="2:25" ht="15" customHeight="1" x14ac:dyDescent="0.25">
      <c r="B9" s="8" t="s">
        <v>89</v>
      </c>
      <c r="C9" s="9" t="s">
        <v>30</v>
      </c>
      <c r="D9" s="10">
        <v>10</v>
      </c>
      <c r="E9" s="11">
        <v>15424.35954953621</v>
      </c>
      <c r="F9" s="13">
        <v>1133</v>
      </c>
      <c r="G9" s="13">
        <v>1133</v>
      </c>
      <c r="H9" s="13">
        <v>1133</v>
      </c>
      <c r="I9" s="13">
        <v>1000</v>
      </c>
      <c r="J9" s="20"/>
      <c r="K9" s="20">
        <v>606</v>
      </c>
      <c r="L9" s="13"/>
      <c r="M9" s="20">
        <v>999</v>
      </c>
      <c r="N9" s="14">
        <f>(E9/15)*3</f>
        <v>3084.8719099072414</v>
      </c>
      <c r="O9" s="15">
        <f>SUM(E9:N9)</f>
        <v>24513.23145944345</v>
      </c>
      <c r="P9" s="20"/>
      <c r="Q9" s="20"/>
      <c r="R9" s="20">
        <f>(E9*0.07)</f>
        <v>1079.7051684675348</v>
      </c>
      <c r="S9" s="12">
        <f>(E9*0.07)</f>
        <v>1079.7051684675348</v>
      </c>
      <c r="T9" s="20">
        <v>3392.0675026560079</v>
      </c>
      <c r="U9" s="23"/>
      <c r="V9" s="23"/>
      <c r="W9" s="23"/>
      <c r="X9" s="17">
        <f>SUM(P9:W9)</f>
        <v>5551.477839591078</v>
      </c>
      <c r="Y9" s="18">
        <f>+O9-X9</f>
        <v>18961.753619852374</v>
      </c>
    </row>
    <row r="10" spans="2:25" ht="15" customHeight="1" x14ac:dyDescent="0.25">
      <c r="B10" s="8" t="s">
        <v>89</v>
      </c>
      <c r="C10" s="9" t="s">
        <v>31</v>
      </c>
      <c r="D10" s="10">
        <v>8</v>
      </c>
      <c r="E10" s="11">
        <v>13360.854858749999</v>
      </c>
      <c r="F10" s="13">
        <v>1133</v>
      </c>
      <c r="G10" s="13">
        <v>1133</v>
      </c>
      <c r="H10" s="13">
        <v>1133</v>
      </c>
      <c r="I10" s="13">
        <v>1000</v>
      </c>
      <c r="J10" s="12"/>
      <c r="K10" s="20">
        <v>525</v>
      </c>
      <c r="L10" s="13">
        <v>325</v>
      </c>
      <c r="M10" s="13">
        <v>925</v>
      </c>
      <c r="N10" s="14">
        <f>(E10/15)*3</f>
        <v>2672.1709717499998</v>
      </c>
      <c r="O10" s="15">
        <f>SUM(E10:N10)</f>
        <v>22207.025830499995</v>
      </c>
      <c r="P10" s="20">
        <f>(E10*0.01)</f>
        <v>133.6085485875</v>
      </c>
      <c r="Q10" s="20">
        <f>1000</f>
        <v>1000</v>
      </c>
      <c r="R10" s="20">
        <f>(E10*0.07)</f>
        <v>935.2598401125</v>
      </c>
      <c r="S10" s="12">
        <f>(E10*0.07)</f>
        <v>935.2598401125</v>
      </c>
      <c r="T10" s="20">
        <v>2916.4095690557997</v>
      </c>
      <c r="U10" s="17"/>
      <c r="V10" s="23">
        <f>966.64</f>
        <v>966.64</v>
      </c>
      <c r="W10" s="23"/>
      <c r="X10" s="17">
        <f>SUM(P10:W10)</f>
        <v>6887.1777978683003</v>
      </c>
      <c r="Y10" s="18">
        <f>+O10-X10</f>
        <v>15319.848032631695</v>
      </c>
    </row>
    <row r="11" spans="2:25" x14ac:dyDescent="0.25">
      <c r="B11" s="8" t="s">
        <v>89</v>
      </c>
      <c r="C11" s="25" t="s">
        <v>33</v>
      </c>
      <c r="D11" s="26">
        <v>7</v>
      </c>
      <c r="E11" s="11">
        <v>12482.481170250001</v>
      </c>
      <c r="F11" s="13">
        <v>1133</v>
      </c>
      <c r="G11" s="13">
        <v>1133</v>
      </c>
      <c r="H11" s="13">
        <v>1133</v>
      </c>
      <c r="I11" s="13">
        <v>1000</v>
      </c>
      <c r="J11" s="12">
        <v>295</v>
      </c>
      <c r="K11" s="20">
        <v>491</v>
      </c>
      <c r="L11" s="20"/>
      <c r="M11" s="20">
        <v>893</v>
      </c>
      <c r="N11" s="14">
        <f>(E11/15)*3</f>
        <v>2496.4962340500006</v>
      </c>
      <c r="O11" s="15">
        <f>SUM(E11:N11)</f>
        <v>21056.9774043</v>
      </c>
      <c r="P11" s="20">
        <f>(E11*0.01)</f>
        <v>124.82481170250001</v>
      </c>
      <c r="Q11" s="20"/>
      <c r="R11" s="20">
        <f>(E11*0.07)</f>
        <v>873.7736819175002</v>
      </c>
      <c r="S11" s="12">
        <f>(E11*0.07)</f>
        <v>873.7736819175002</v>
      </c>
      <c r="T11" s="20">
        <v>2639.6471283670799</v>
      </c>
      <c r="U11" s="22">
        <v>3895.6</v>
      </c>
      <c r="V11" s="22"/>
      <c r="W11" s="22"/>
      <c r="X11" s="17">
        <f>SUM(P11:W11)</f>
        <v>8407.6193039045811</v>
      </c>
      <c r="Y11" s="18">
        <f>+O11-X11</f>
        <v>12649.358100395419</v>
      </c>
    </row>
    <row r="12" spans="2:25" x14ac:dyDescent="0.25">
      <c r="B12" s="8" t="s">
        <v>89</v>
      </c>
      <c r="C12" s="9" t="s">
        <v>35</v>
      </c>
      <c r="D12" s="10">
        <v>5</v>
      </c>
      <c r="E12" s="11">
        <v>10948.878517500001</v>
      </c>
      <c r="F12" s="13">
        <v>1133</v>
      </c>
      <c r="G12" s="13">
        <v>1133</v>
      </c>
      <c r="H12" s="13">
        <v>1133</v>
      </c>
      <c r="I12" s="13">
        <v>1000</v>
      </c>
      <c r="J12" s="13">
        <v>260</v>
      </c>
      <c r="K12" s="20"/>
      <c r="L12" s="13">
        <v>150</v>
      </c>
      <c r="M12" s="20">
        <v>838</v>
      </c>
      <c r="N12" s="14">
        <f>(E12/15)*3</f>
        <v>2189.7757035000004</v>
      </c>
      <c r="O12" s="15">
        <f>SUM(E12:N12)</f>
        <v>18785.654221000001</v>
      </c>
      <c r="P12" s="20">
        <f>(E12*0.01)</f>
        <v>109.48878517500002</v>
      </c>
      <c r="Q12" s="20">
        <f>500</f>
        <v>500</v>
      </c>
      <c r="R12" s="20">
        <f>(E12*0.07)</f>
        <v>766.42149622500017</v>
      </c>
      <c r="S12" s="12">
        <f>(E12*0.07)</f>
        <v>766.42149622500017</v>
      </c>
      <c r="T12" s="20">
        <v>2236.6652004718003</v>
      </c>
      <c r="U12" s="23"/>
      <c r="V12" s="23"/>
      <c r="W12" s="23"/>
      <c r="X12" s="17">
        <f>SUM(P12:W12)</f>
        <v>4378.9969780968004</v>
      </c>
      <c r="Y12" s="18">
        <f>+O12-X12</f>
        <v>14406.6572429032</v>
      </c>
    </row>
    <row r="13" spans="2:25" x14ac:dyDescent="0.25">
      <c r="B13" s="8" t="s">
        <v>89</v>
      </c>
      <c r="C13" s="9" t="s">
        <v>36</v>
      </c>
      <c r="D13" s="10">
        <v>4</v>
      </c>
      <c r="E13" s="11">
        <v>9610.9981694999988</v>
      </c>
      <c r="F13" s="13">
        <v>1133</v>
      </c>
      <c r="G13" s="13">
        <v>1133</v>
      </c>
      <c r="H13" s="13">
        <v>1133</v>
      </c>
      <c r="I13" s="13">
        <v>1000</v>
      </c>
      <c r="J13" s="13">
        <v>230</v>
      </c>
      <c r="K13" s="20"/>
      <c r="L13" s="13">
        <v>150</v>
      </c>
      <c r="M13" s="20">
        <v>790</v>
      </c>
      <c r="N13" s="14">
        <f>(E13/15)*3</f>
        <v>1922.1996338999998</v>
      </c>
      <c r="O13" s="15">
        <f>SUM(E13:N13)</f>
        <v>17102.197803399999</v>
      </c>
      <c r="P13" s="20">
        <f>(E13*0.01)</f>
        <v>96.109981694999988</v>
      </c>
      <c r="Q13" s="20"/>
      <c r="R13" s="20">
        <f>(E13*0.07)</f>
        <v>672.76987186500003</v>
      </c>
      <c r="S13" s="12">
        <f>(E13*0.07)</f>
        <v>672.76987186500003</v>
      </c>
      <c r="T13" s="20">
        <v>1913.9864339057199</v>
      </c>
      <c r="U13" s="23"/>
      <c r="V13" s="23"/>
      <c r="W13" s="23"/>
      <c r="X13" s="17">
        <f>SUM(P13:W13)</f>
        <v>3355.6361593307201</v>
      </c>
      <c r="Y13" s="18">
        <f>+O13-X13</f>
        <v>13746.561644069279</v>
      </c>
    </row>
    <row r="14" spans="2:25" x14ac:dyDescent="0.25">
      <c r="B14" s="8" t="s">
        <v>89</v>
      </c>
      <c r="C14" s="9" t="s">
        <v>37</v>
      </c>
      <c r="D14" s="10">
        <v>4</v>
      </c>
      <c r="E14" s="11">
        <v>9610.9981694999988</v>
      </c>
      <c r="F14" s="13">
        <v>1133</v>
      </c>
      <c r="G14" s="13">
        <v>1133</v>
      </c>
      <c r="H14" s="13">
        <v>1133</v>
      </c>
      <c r="I14" s="13">
        <v>1000</v>
      </c>
      <c r="J14" s="13">
        <v>230</v>
      </c>
      <c r="K14" s="20"/>
      <c r="L14" s="13">
        <v>150</v>
      </c>
      <c r="M14" s="20">
        <v>790</v>
      </c>
      <c r="N14" s="14">
        <f>(E14/15)*3</f>
        <v>1922.1996338999998</v>
      </c>
      <c r="O14" s="15">
        <f>SUM(E14:N14)</f>
        <v>17102.197803399999</v>
      </c>
      <c r="P14" s="20">
        <f>(E14*0.01)</f>
        <v>96.109981694999988</v>
      </c>
      <c r="Q14" s="20">
        <f>500</f>
        <v>500</v>
      </c>
      <c r="R14" s="20">
        <f>(E14*0.07)</f>
        <v>672.76987186500003</v>
      </c>
      <c r="S14" s="12">
        <f>(E14*0.07)</f>
        <v>672.76987186500003</v>
      </c>
      <c r="T14" s="20">
        <v>1913.9864339057199</v>
      </c>
      <c r="U14" s="23"/>
      <c r="V14" s="23"/>
      <c r="W14" s="23"/>
      <c r="X14" s="17">
        <f>SUM(P14:W14)</f>
        <v>3855.6361593307197</v>
      </c>
      <c r="Y14" s="18">
        <f>+O14-X14</f>
        <v>13246.561644069279</v>
      </c>
    </row>
    <row r="15" spans="2:25" x14ac:dyDescent="0.25">
      <c r="B15" s="8" t="s">
        <v>89</v>
      </c>
      <c r="C15" s="9" t="s">
        <v>39</v>
      </c>
      <c r="D15" s="10">
        <v>2</v>
      </c>
      <c r="E15" s="11">
        <v>8024.8779607499991</v>
      </c>
      <c r="F15" s="13">
        <v>1133</v>
      </c>
      <c r="G15" s="13">
        <v>1133</v>
      </c>
      <c r="H15" s="13">
        <v>1133</v>
      </c>
      <c r="I15" s="13">
        <v>1000</v>
      </c>
      <c r="J15" s="13">
        <v>190</v>
      </c>
      <c r="K15" s="20"/>
      <c r="L15" s="13">
        <v>150</v>
      </c>
      <c r="M15" s="20">
        <v>733</v>
      </c>
      <c r="N15" s="14">
        <f>(E15/15)*3</f>
        <v>1604.9755921499996</v>
      </c>
      <c r="O15" s="15">
        <f>SUM(E15:N15)</f>
        <v>15101.8535529</v>
      </c>
      <c r="P15" s="20">
        <f>(E15*0.01)</f>
        <v>80.248779607499998</v>
      </c>
      <c r="Q15" s="20">
        <f>500</f>
        <v>500</v>
      </c>
      <c r="R15" s="20">
        <f>(E15*0.07)</f>
        <v>561.74145725250003</v>
      </c>
      <c r="S15" s="12">
        <f>(E15*0.07)</f>
        <v>561.74145725250003</v>
      </c>
      <c r="T15" s="20">
        <v>1530.9520296578203</v>
      </c>
      <c r="U15" s="23"/>
      <c r="V15" s="23">
        <f>966.64</f>
        <v>966.64</v>
      </c>
      <c r="W15" s="23">
        <f>1933.28</f>
        <v>1933.28</v>
      </c>
      <c r="X15" s="17">
        <f>SUM(P15:W15)</f>
        <v>6134.6037237703204</v>
      </c>
      <c r="Y15" s="18">
        <f>+O15-X15</f>
        <v>8967.2498291296797</v>
      </c>
    </row>
    <row r="16" spans="2:25" ht="22.5" x14ac:dyDescent="0.25">
      <c r="B16" s="8" t="s">
        <v>89</v>
      </c>
      <c r="C16" s="9" t="s">
        <v>41</v>
      </c>
      <c r="D16" s="10">
        <v>1</v>
      </c>
      <c r="E16" s="11">
        <v>7531.9769857499987</v>
      </c>
      <c r="F16" s="13">
        <v>1133</v>
      </c>
      <c r="G16" s="13">
        <v>1133</v>
      </c>
      <c r="H16" s="13">
        <v>1133</v>
      </c>
      <c r="I16" s="13">
        <v>1000</v>
      </c>
      <c r="J16" s="13">
        <v>180</v>
      </c>
      <c r="K16" s="20"/>
      <c r="L16" s="13">
        <v>150</v>
      </c>
      <c r="M16" s="20">
        <v>715</v>
      </c>
      <c r="N16" s="14">
        <f>(E16/15)*3</f>
        <v>1506.3953971499998</v>
      </c>
      <c r="O16" s="15">
        <f>SUM(E16:N16)</f>
        <v>14482.372382899999</v>
      </c>
      <c r="P16" s="20"/>
      <c r="Q16" s="20"/>
      <c r="R16" s="20">
        <f>(E16*0.07)</f>
        <v>527.23838900249996</v>
      </c>
      <c r="S16" s="12">
        <f>(E16*0.07)</f>
        <v>527.23838900249996</v>
      </c>
      <c r="T16" s="20">
        <v>1412.1496165718202</v>
      </c>
      <c r="U16" s="23">
        <v>2735.66</v>
      </c>
      <c r="V16" s="23"/>
      <c r="W16" s="23"/>
      <c r="X16" s="17">
        <f>SUM(P16:W16)</f>
        <v>5202.2863945768204</v>
      </c>
      <c r="Y16" s="18">
        <f>+O16-X16</f>
        <v>9280.0859883231788</v>
      </c>
    </row>
    <row r="17" spans="2:26" ht="22.5" x14ac:dyDescent="0.25">
      <c r="B17" s="8" t="s">
        <v>90</v>
      </c>
      <c r="C17" s="9" t="s">
        <v>42</v>
      </c>
      <c r="D17" s="10"/>
      <c r="E17" s="11">
        <v>6069.96</v>
      </c>
      <c r="F17" s="30"/>
      <c r="G17" s="30"/>
      <c r="H17" s="30"/>
      <c r="I17" s="27"/>
      <c r="J17" s="28"/>
      <c r="K17" s="28"/>
      <c r="L17" s="28"/>
      <c r="M17" s="20"/>
      <c r="N17" s="21"/>
      <c r="O17" s="15">
        <f>SUM(E17:N17)</f>
        <v>6069.96</v>
      </c>
      <c r="P17" s="20"/>
      <c r="Q17" s="28"/>
      <c r="R17" s="28"/>
      <c r="S17" s="12"/>
      <c r="T17" s="20">
        <v>527.76699999999994</v>
      </c>
      <c r="U17" s="23"/>
      <c r="V17" s="23"/>
      <c r="W17" s="23"/>
      <c r="X17" s="17">
        <f>SUM(P17:W17)</f>
        <v>527.76699999999994</v>
      </c>
      <c r="Y17" s="18">
        <f>+O17-X17</f>
        <v>5542.1930000000002</v>
      </c>
    </row>
    <row r="18" spans="2:26" x14ac:dyDescent="0.25">
      <c r="B18" s="8" t="s">
        <v>44</v>
      </c>
      <c r="C18" s="25" t="s">
        <v>45</v>
      </c>
      <c r="D18" s="31"/>
      <c r="E18" s="32">
        <f>24876/2</f>
        <v>12438</v>
      </c>
      <c r="F18" s="30"/>
      <c r="G18" s="30"/>
      <c r="H18" s="30"/>
      <c r="I18" s="27"/>
      <c r="J18" s="28"/>
      <c r="K18" s="28"/>
      <c r="L18" s="28"/>
      <c r="M18" s="28"/>
      <c r="N18" s="29"/>
      <c r="O18" s="15">
        <f>SUM(E18:N18)</f>
        <v>12438</v>
      </c>
      <c r="P18" s="28"/>
      <c r="Q18" s="28"/>
      <c r="R18" s="28"/>
      <c r="S18" s="32"/>
      <c r="T18" s="28">
        <v>1936</v>
      </c>
      <c r="U18" s="34"/>
      <c r="V18" s="34"/>
      <c r="W18" s="34"/>
      <c r="X18" s="17">
        <f>SUM(P18:W18)</f>
        <v>1936</v>
      </c>
      <c r="Y18" s="18">
        <f>+O18-X18</f>
        <v>10502</v>
      </c>
    </row>
    <row r="19" spans="2:26" ht="15.75" thickBot="1" x14ac:dyDescent="0.3">
      <c r="B19" s="35" t="s">
        <v>46</v>
      </c>
      <c r="C19" s="36"/>
      <c r="D19" s="37"/>
      <c r="E19" s="38">
        <f t="shared" ref="E19:Y19" si="0">SUM(E4:E18)</f>
        <v>184669.29538153618</v>
      </c>
      <c r="F19" s="38">
        <f t="shared" si="0"/>
        <v>10864</v>
      </c>
      <c r="G19" s="38">
        <f t="shared" si="0"/>
        <v>11764</v>
      </c>
      <c r="H19" s="38">
        <f t="shared" si="0"/>
        <v>10864</v>
      </c>
      <c r="I19" s="38">
        <f t="shared" si="0"/>
        <v>10000</v>
      </c>
      <c r="J19" s="38">
        <f t="shared" si="0"/>
        <v>1385</v>
      </c>
      <c r="K19" s="38">
        <f t="shared" si="0"/>
        <v>3122</v>
      </c>
      <c r="L19" s="38">
        <f t="shared" si="0"/>
        <v>1075</v>
      </c>
      <c r="M19" s="38">
        <f t="shared" si="0"/>
        <v>6683</v>
      </c>
      <c r="N19" s="38">
        <f t="shared" si="0"/>
        <v>33232.267076307238</v>
      </c>
      <c r="O19" s="38">
        <f t="shared" si="0"/>
        <v>273658.56245784345</v>
      </c>
      <c r="P19" s="38">
        <f t="shared" si="0"/>
        <v>640.39088846250002</v>
      </c>
      <c r="Q19" s="38">
        <f t="shared" si="0"/>
        <v>2500</v>
      </c>
      <c r="R19" s="38">
        <f t="shared" si="0"/>
        <v>6089.6797767075359</v>
      </c>
      <c r="S19" s="38">
        <f t="shared" si="0"/>
        <v>11631.293476707539</v>
      </c>
      <c r="T19" s="38">
        <f t="shared" si="0"/>
        <v>35985.473149791767</v>
      </c>
      <c r="U19" s="38">
        <f t="shared" si="0"/>
        <v>11675.039999999999</v>
      </c>
      <c r="V19" s="38">
        <f t="shared" si="0"/>
        <v>1933.28</v>
      </c>
      <c r="W19" s="38">
        <f t="shared" si="0"/>
        <v>1933.28</v>
      </c>
      <c r="X19" s="38">
        <f t="shared" si="0"/>
        <v>72388.437291669354</v>
      </c>
      <c r="Y19" s="38">
        <f t="shared" si="0"/>
        <v>201270.12516617408</v>
      </c>
      <c r="Z19" s="19"/>
    </row>
    <row r="20" spans="2:26" x14ac:dyDescent="0.25"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</row>
    <row r="29" spans="2:26" x14ac:dyDescent="0.25">
      <c r="B29" t="s">
        <v>87</v>
      </c>
      <c r="C29" t="s">
        <v>91</v>
      </c>
    </row>
    <row r="30" spans="2:26" x14ac:dyDescent="0.25">
      <c r="B30" t="s">
        <v>88</v>
      </c>
      <c r="C30" t="s">
        <v>92</v>
      </c>
    </row>
    <row r="31" spans="2:26" x14ac:dyDescent="0.25">
      <c r="B31" t="s">
        <v>89</v>
      </c>
      <c r="C31" t="s">
        <v>93</v>
      </c>
    </row>
    <row r="32" spans="2:26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3"/>
  <sheetViews>
    <sheetView topLeftCell="A10" workbookViewId="0">
      <selection activeCell="C3" sqref="C3:D3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10.140625" customWidth="1"/>
    <col min="7" max="7" width="8.85546875" customWidth="1"/>
    <col min="8" max="8" width="9.7109375" customWidth="1"/>
    <col min="9" max="9" width="9" customWidth="1"/>
    <col min="10" max="11" width="8.85546875" customWidth="1"/>
    <col min="12" max="15" width="8.7109375" customWidth="1"/>
    <col min="16" max="16" width="12.5703125" bestFit="1" customWidth="1"/>
    <col min="17" max="17" width="7.42578125" customWidth="1"/>
    <col min="18" max="19" width="8.7109375" bestFit="1" customWidth="1"/>
    <col min="20" max="20" width="9" customWidth="1"/>
    <col min="21" max="21" width="9.5703125" customWidth="1"/>
    <col min="22" max="22" width="8.5703125" customWidth="1"/>
    <col min="23" max="24" width="10.140625" customWidth="1"/>
    <col min="25" max="25" width="9.5703125" customWidth="1"/>
    <col min="26" max="26" width="12.5703125" bestFit="1" customWidth="1"/>
    <col min="27" max="27" width="14.140625" bestFit="1" customWidth="1"/>
  </cols>
  <sheetData>
    <row r="1" spans="2:26" ht="18.75" x14ac:dyDescent="0.25">
      <c r="E1" s="1"/>
      <c r="F1" s="2" t="s">
        <v>103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6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26" ht="48.75" customHeight="1" x14ac:dyDescent="0.25">
      <c r="B3" s="47"/>
      <c r="C3" s="47" t="s">
        <v>1</v>
      </c>
      <c r="D3" s="4" t="s">
        <v>2</v>
      </c>
      <c r="E3" s="54" t="s">
        <v>3</v>
      </c>
      <c r="F3" s="55" t="s">
        <v>4</v>
      </c>
      <c r="G3" s="55" t="s">
        <v>5</v>
      </c>
      <c r="H3" s="55" t="s">
        <v>7</v>
      </c>
      <c r="I3" s="55" t="s">
        <v>8</v>
      </c>
      <c r="J3" s="55" t="s">
        <v>9</v>
      </c>
      <c r="K3" s="55" t="s">
        <v>10</v>
      </c>
      <c r="L3" s="55" t="s">
        <v>11</v>
      </c>
      <c r="M3" s="55" t="s">
        <v>12</v>
      </c>
      <c r="N3" s="55" t="s">
        <v>13</v>
      </c>
      <c r="O3" s="61" t="s">
        <v>104</v>
      </c>
      <c r="P3" s="48" t="s">
        <v>96</v>
      </c>
      <c r="Q3" s="5" t="s">
        <v>15</v>
      </c>
      <c r="R3" s="5" t="s">
        <v>16</v>
      </c>
      <c r="S3" s="5" t="s">
        <v>17</v>
      </c>
      <c r="T3" s="5" t="s">
        <v>18</v>
      </c>
      <c r="U3" s="5" t="s">
        <v>19</v>
      </c>
      <c r="V3" s="7" t="s">
        <v>22</v>
      </c>
      <c r="W3" s="49" t="s">
        <v>83</v>
      </c>
      <c r="X3" s="49" t="s">
        <v>84</v>
      </c>
      <c r="Y3" s="49" t="s">
        <v>85</v>
      </c>
      <c r="Z3" s="50" t="s">
        <v>86</v>
      </c>
    </row>
    <row r="4" spans="2:26" x14ac:dyDescent="0.25">
      <c r="B4" s="8" t="s">
        <v>87</v>
      </c>
      <c r="C4" s="9" t="s">
        <v>23</v>
      </c>
      <c r="D4" s="10">
        <v>17</v>
      </c>
      <c r="E4" s="11">
        <v>19286.689999999999</v>
      </c>
      <c r="F4" s="13">
        <v>200</v>
      </c>
      <c r="G4" s="12"/>
      <c r="H4" s="13"/>
      <c r="I4" s="12"/>
      <c r="J4" s="12"/>
      <c r="K4" s="12"/>
      <c r="L4" s="12"/>
      <c r="M4" s="12"/>
      <c r="N4" s="14"/>
      <c r="O4" s="14"/>
      <c r="P4" s="15">
        <f>SUM(E4:O4)</f>
        <v>19486.689999999999</v>
      </c>
      <c r="Q4" s="12"/>
      <c r="R4" s="12"/>
      <c r="S4" s="12"/>
      <c r="T4" s="12">
        <f t="shared" ref="T4:T15" si="0">(E4*0.07)</f>
        <v>1350.0683000000001</v>
      </c>
      <c r="U4" s="12">
        <v>3388.3970879999997</v>
      </c>
      <c r="V4" s="17">
        <v>1826.6</v>
      </c>
      <c r="W4" s="17"/>
      <c r="X4" s="17"/>
      <c r="Y4" s="17">
        <f>SUM(Q4:X4)</f>
        <v>6565.0653879999991</v>
      </c>
      <c r="Z4" s="18">
        <f>+P4-Y4</f>
        <v>12921.624612</v>
      </c>
    </row>
    <row r="5" spans="2:26" x14ac:dyDescent="0.25">
      <c r="B5" s="8" t="s">
        <v>87</v>
      </c>
      <c r="C5" s="9" t="s">
        <v>24</v>
      </c>
      <c r="D5" s="10">
        <v>14</v>
      </c>
      <c r="E5" s="11">
        <v>14917.51</v>
      </c>
      <c r="F5" s="13">
        <v>200</v>
      </c>
      <c r="G5" s="20"/>
      <c r="H5" s="13"/>
      <c r="I5" s="20"/>
      <c r="J5" s="20"/>
      <c r="K5" s="20"/>
      <c r="L5" s="20"/>
      <c r="M5" s="20"/>
      <c r="N5" s="21"/>
      <c r="O5" s="21"/>
      <c r="P5" s="15">
        <f t="shared" ref="P5:P17" si="1">SUM(E5:O5)</f>
        <v>15117.51</v>
      </c>
      <c r="Q5" s="20"/>
      <c r="R5" s="20"/>
      <c r="S5" s="20"/>
      <c r="T5" s="12">
        <f t="shared" si="0"/>
        <v>1044.2257000000002</v>
      </c>
      <c r="U5" s="20">
        <v>2373.7416400000002</v>
      </c>
      <c r="V5" s="17">
        <v>1390.58</v>
      </c>
      <c r="W5" s="23"/>
      <c r="X5" s="23"/>
      <c r="Y5" s="17">
        <f>SUM(Q5:X5)</f>
        <v>4808.5473400000001</v>
      </c>
      <c r="Z5" s="18">
        <f>+P5-Y5</f>
        <v>10308.962660000001</v>
      </c>
    </row>
    <row r="6" spans="2:26" x14ac:dyDescent="0.25">
      <c r="B6" s="8" t="s">
        <v>87</v>
      </c>
      <c r="C6" s="9" t="s">
        <v>25</v>
      </c>
      <c r="D6" s="10">
        <v>14</v>
      </c>
      <c r="E6" s="11">
        <v>14917.51</v>
      </c>
      <c r="F6" s="13">
        <v>200</v>
      </c>
      <c r="G6" s="20"/>
      <c r="H6" s="13"/>
      <c r="I6" s="20"/>
      <c r="J6" s="20"/>
      <c r="K6" s="20"/>
      <c r="L6" s="20"/>
      <c r="M6" s="20"/>
      <c r="N6" s="21"/>
      <c r="O6" s="21"/>
      <c r="P6" s="15">
        <f t="shared" si="1"/>
        <v>15117.51</v>
      </c>
      <c r="Q6" s="20"/>
      <c r="R6" s="20"/>
      <c r="S6" s="20"/>
      <c r="T6" s="12">
        <f t="shared" si="0"/>
        <v>1044.2257000000002</v>
      </c>
      <c r="U6" s="20">
        <v>2373.7416400000002</v>
      </c>
      <c r="V6" s="23"/>
      <c r="W6" s="23"/>
      <c r="X6" s="23"/>
      <c r="Y6" s="17">
        <f>SUM(Q6:X6)</f>
        <v>3417.9673400000001</v>
      </c>
      <c r="Z6" s="18">
        <f>+P6-Y6</f>
        <v>11699.542659999999</v>
      </c>
    </row>
    <row r="7" spans="2:26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13">
        <v>900</v>
      </c>
      <c r="G7" s="13">
        <v>900</v>
      </c>
      <c r="H7" s="13">
        <v>900</v>
      </c>
      <c r="I7" s="13">
        <v>3000</v>
      </c>
      <c r="J7" s="20">
        <v>3341.8</v>
      </c>
      <c r="K7" s="20">
        <v>733</v>
      </c>
      <c r="L7" s="13"/>
      <c r="M7" s="20"/>
      <c r="N7" s="21"/>
      <c r="O7" s="21">
        <f t="shared" ref="O7:O15" si="2">(E7/15)*6</f>
        <v>6008.84</v>
      </c>
      <c r="P7" s="15">
        <f t="shared" si="1"/>
        <v>30805.739999999998</v>
      </c>
      <c r="Q7" s="20"/>
      <c r="R7" s="20"/>
      <c r="S7" s="20"/>
      <c r="T7" s="12">
        <f t="shared" si="0"/>
        <v>1051.547</v>
      </c>
      <c r="U7" s="20">
        <v>3900.4815839999992</v>
      </c>
      <c r="V7" s="23"/>
      <c r="W7" s="23"/>
      <c r="X7" s="23"/>
      <c r="Y7" s="17">
        <f>SUM(Q7:X7)</f>
        <v>4952.0285839999997</v>
      </c>
      <c r="Z7" s="18">
        <f>+P7-Y7</f>
        <v>25853.711415999998</v>
      </c>
    </row>
    <row r="8" spans="2:26" ht="15" customHeight="1" x14ac:dyDescent="0.25">
      <c r="B8" s="8" t="s">
        <v>88</v>
      </c>
      <c r="C8" s="9" t="s">
        <v>28</v>
      </c>
      <c r="D8" s="10">
        <v>13</v>
      </c>
      <c r="E8" s="11">
        <f>(15022.1/15)*3</f>
        <v>3004.42</v>
      </c>
      <c r="F8" s="13">
        <f>(900/30)*3</f>
        <v>90</v>
      </c>
      <c r="G8" s="13">
        <f>(900/30)*3</f>
        <v>90</v>
      </c>
      <c r="H8" s="13">
        <f>(900/30)*3</f>
        <v>90</v>
      </c>
      <c r="I8" s="13">
        <f>(3000/30)*3</f>
        <v>300</v>
      </c>
      <c r="J8" s="20">
        <f>(3341.8/30)*3</f>
        <v>334.18000000000006</v>
      </c>
      <c r="K8" s="20">
        <f>(733/30)*3</f>
        <v>73.3</v>
      </c>
      <c r="L8" s="13"/>
      <c r="M8" s="20"/>
      <c r="N8" s="21"/>
      <c r="O8" s="21">
        <f>(15022.1/15)*5.8</f>
        <v>5808.5453333333335</v>
      </c>
      <c r="P8" s="15">
        <f t="shared" si="1"/>
        <v>9790.4453333333331</v>
      </c>
      <c r="Q8" s="20"/>
      <c r="R8" s="20"/>
      <c r="S8" s="20"/>
      <c r="T8" s="12">
        <f t="shared" si="0"/>
        <v>210.30940000000004</v>
      </c>
      <c r="U8" s="20">
        <v>558.56299999999999</v>
      </c>
      <c r="V8" s="17">
        <v>1826.6</v>
      </c>
      <c r="W8" s="23"/>
      <c r="X8" s="23"/>
      <c r="Y8" s="17">
        <f>SUM(Q8:X8)</f>
        <v>2595.4723999999997</v>
      </c>
      <c r="Z8" s="18">
        <f>+P8-Y8</f>
        <v>7194.9729333333335</v>
      </c>
    </row>
    <row r="9" spans="2:26" ht="15" customHeight="1" x14ac:dyDescent="0.25">
      <c r="B9" s="8" t="s">
        <v>89</v>
      </c>
      <c r="C9" s="9" t="s">
        <v>30</v>
      </c>
      <c r="D9" s="10">
        <v>10</v>
      </c>
      <c r="E9" s="11">
        <v>15424.35954953621</v>
      </c>
      <c r="F9" s="13">
        <v>1100</v>
      </c>
      <c r="G9" s="13">
        <v>1133</v>
      </c>
      <c r="H9" s="13">
        <v>1140</v>
      </c>
      <c r="I9" s="13">
        <v>1150</v>
      </c>
      <c r="J9" s="20">
        <v>1934.8</v>
      </c>
      <c r="K9" s="20">
        <v>787</v>
      </c>
      <c r="L9" s="13"/>
      <c r="M9" s="20">
        <v>945</v>
      </c>
      <c r="N9" s="21">
        <f>(E9/15)*2</f>
        <v>2056.5812732714944</v>
      </c>
      <c r="O9" s="21">
        <f t="shared" si="2"/>
        <v>6169.7438198144828</v>
      </c>
      <c r="P9" s="15">
        <f t="shared" si="1"/>
        <v>31840.484642622185</v>
      </c>
      <c r="Q9" s="20"/>
      <c r="R9" s="20"/>
      <c r="S9" s="20">
        <f t="shared" ref="S9:S15" si="3">(E9*0.07)</f>
        <v>1079.7051684675348</v>
      </c>
      <c r="T9" s="12">
        <f t="shared" si="0"/>
        <v>1079.7051684675348</v>
      </c>
      <c r="U9" s="20">
        <v>3990.3284769978272</v>
      </c>
      <c r="V9" s="23"/>
      <c r="W9" s="23"/>
      <c r="X9" s="23"/>
      <c r="Y9" s="17">
        <f>SUM(Q9:X9)</f>
        <v>6149.7388139328968</v>
      </c>
      <c r="Z9" s="18">
        <f>+P9-Y9</f>
        <v>25690.745828689287</v>
      </c>
    </row>
    <row r="10" spans="2:26" ht="15" customHeight="1" x14ac:dyDescent="0.25">
      <c r="B10" s="8" t="s">
        <v>89</v>
      </c>
      <c r="C10" s="9" t="s">
        <v>31</v>
      </c>
      <c r="D10" s="10">
        <v>8</v>
      </c>
      <c r="E10" s="11">
        <v>13360.854858749999</v>
      </c>
      <c r="F10" s="13">
        <v>1100</v>
      </c>
      <c r="G10" s="13">
        <v>1133</v>
      </c>
      <c r="H10" s="13">
        <v>1140</v>
      </c>
      <c r="I10" s="13">
        <v>1000</v>
      </c>
      <c r="J10" s="12">
        <v>1677.2</v>
      </c>
      <c r="K10" s="12">
        <f>662+100</f>
        <v>762</v>
      </c>
      <c r="L10" s="13">
        <v>325</v>
      </c>
      <c r="M10" s="13">
        <v>838</v>
      </c>
      <c r="N10" s="21">
        <f>(E10/15)*2</f>
        <v>1781.4473144999999</v>
      </c>
      <c r="O10" s="21">
        <f t="shared" si="2"/>
        <v>5344.3419434999996</v>
      </c>
      <c r="P10" s="15">
        <f t="shared" si="1"/>
        <v>28461.844116749999</v>
      </c>
      <c r="Q10" s="20">
        <f>(E10*0.01)</f>
        <v>133.6085485875</v>
      </c>
      <c r="R10" s="20">
        <f>1000</f>
        <v>1000</v>
      </c>
      <c r="S10" s="20">
        <f t="shared" si="3"/>
        <v>935.2598401125</v>
      </c>
      <c r="T10" s="12">
        <f t="shared" si="0"/>
        <v>935.2598401125</v>
      </c>
      <c r="U10" s="20">
        <v>3388.5521995187992</v>
      </c>
      <c r="V10" s="17">
        <v>4166.67</v>
      </c>
      <c r="W10" s="23">
        <f>966.64</f>
        <v>966.64</v>
      </c>
      <c r="X10" s="23"/>
      <c r="Y10" s="17">
        <f>SUM(Q10:X10)</f>
        <v>11525.990428331299</v>
      </c>
      <c r="Z10" s="18">
        <f>+P10-Y10</f>
        <v>16935.853688418698</v>
      </c>
    </row>
    <row r="11" spans="2:26" x14ac:dyDescent="0.25">
      <c r="B11" s="8" t="s">
        <v>89</v>
      </c>
      <c r="C11" s="25" t="s">
        <v>33</v>
      </c>
      <c r="D11" s="26">
        <v>7</v>
      </c>
      <c r="E11" s="11">
        <v>12482.481170250001</v>
      </c>
      <c r="F11" s="13">
        <v>1100</v>
      </c>
      <c r="G11" s="13">
        <v>1133</v>
      </c>
      <c r="H11" s="13">
        <v>1140</v>
      </c>
      <c r="I11" s="13"/>
      <c r="J11" s="12">
        <v>1565.2</v>
      </c>
      <c r="K11" s="12">
        <f>651+100</f>
        <v>751</v>
      </c>
      <c r="L11" s="20"/>
      <c r="M11" s="20">
        <v>793</v>
      </c>
      <c r="N11" s="21">
        <f>(E11/15)*2</f>
        <v>1664.3308227000002</v>
      </c>
      <c r="O11" s="21">
        <f t="shared" si="2"/>
        <v>4992.9924681000011</v>
      </c>
      <c r="P11" s="15">
        <f t="shared" si="1"/>
        <v>25622.004461050004</v>
      </c>
      <c r="Q11" s="20">
        <f>(E11*0.01)</f>
        <v>124.82481170250001</v>
      </c>
      <c r="R11" s="20"/>
      <c r="S11" s="20">
        <f t="shared" si="3"/>
        <v>873.7736819175002</v>
      </c>
      <c r="T11" s="12">
        <f t="shared" si="0"/>
        <v>873.7736819175002</v>
      </c>
      <c r="U11" s="20">
        <v>2913.0703102408806</v>
      </c>
      <c r="V11" s="22">
        <v>3895.6</v>
      </c>
      <c r="W11" s="22"/>
      <c r="X11" s="22"/>
      <c r="Y11" s="17">
        <f>SUM(Q11:X11)</f>
        <v>8681.0424857783819</v>
      </c>
      <c r="Z11" s="18">
        <f>+P11-Y11</f>
        <v>16940.961975271624</v>
      </c>
    </row>
    <row r="12" spans="2:26" x14ac:dyDescent="0.25">
      <c r="B12" s="8" t="s">
        <v>89</v>
      </c>
      <c r="C12" s="9" t="s">
        <v>36</v>
      </c>
      <c r="D12" s="10">
        <v>4</v>
      </c>
      <c r="E12" s="11">
        <v>9610.9981694999988</v>
      </c>
      <c r="F12" s="13">
        <v>1100</v>
      </c>
      <c r="G12" s="13">
        <v>1133</v>
      </c>
      <c r="H12" s="13">
        <v>1140</v>
      </c>
      <c r="I12" s="13"/>
      <c r="J12" s="13">
        <v>845.6</v>
      </c>
      <c r="K12" s="13">
        <f>615+100</f>
        <v>715</v>
      </c>
      <c r="L12" s="13">
        <v>150</v>
      </c>
      <c r="M12" s="20">
        <v>644</v>
      </c>
      <c r="N12" s="21"/>
      <c r="O12" s="21">
        <f t="shared" si="2"/>
        <v>3844.3992677999995</v>
      </c>
      <c r="P12" s="15">
        <f t="shared" si="1"/>
        <v>19182.9974373</v>
      </c>
      <c r="Q12" s="20">
        <f>(E12*0.01)</f>
        <v>96.109981694999988</v>
      </c>
      <c r="R12" s="20"/>
      <c r="S12" s="20">
        <f t="shared" si="3"/>
        <v>672.76987186500003</v>
      </c>
      <c r="T12" s="12">
        <f t="shared" si="0"/>
        <v>672.76987186500003</v>
      </c>
      <c r="U12" s="20">
        <v>1896.9838348062399</v>
      </c>
      <c r="V12" s="23"/>
      <c r="W12" s="23"/>
      <c r="X12" s="23"/>
      <c r="Y12" s="17">
        <f>SUM(Q12:X12)</f>
        <v>3338.6335602312402</v>
      </c>
      <c r="Z12" s="18">
        <f>+P12-Y12</f>
        <v>15844.363877068761</v>
      </c>
    </row>
    <row r="13" spans="2:26" x14ac:dyDescent="0.25">
      <c r="B13" s="8" t="s">
        <v>89</v>
      </c>
      <c r="C13" s="9" t="s">
        <v>37</v>
      </c>
      <c r="D13" s="10">
        <v>4</v>
      </c>
      <c r="E13" s="11">
        <v>9610.9981694999988</v>
      </c>
      <c r="F13" s="13">
        <v>1100</v>
      </c>
      <c r="G13" s="13">
        <v>1133</v>
      </c>
      <c r="H13" s="13">
        <v>1140</v>
      </c>
      <c r="I13" s="13"/>
      <c r="J13" s="13">
        <v>845.6</v>
      </c>
      <c r="K13" s="13">
        <f>615+100</f>
        <v>715</v>
      </c>
      <c r="L13" s="13">
        <v>150</v>
      </c>
      <c r="M13" s="20">
        <v>644</v>
      </c>
      <c r="N13" s="21">
        <f>(E13/15)*2</f>
        <v>1281.4664225999998</v>
      </c>
      <c r="O13" s="21">
        <f t="shared" si="2"/>
        <v>3844.3992677999995</v>
      </c>
      <c r="P13" s="15">
        <f t="shared" si="1"/>
        <v>20464.463859899999</v>
      </c>
      <c r="Q13" s="20">
        <f>(E13*0.01)</f>
        <v>96.109981694999988</v>
      </c>
      <c r="R13" s="20">
        <f>500</f>
        <v>500</v>
      </c>
      <c r="S13" s="20">
        <f t="shared" si="3"/>
        <v>672.76987186500003</v>
      </c>
      <c r="T13" s="12">
        <f t="shared" si="0"/>
        <v>672.76987186500003</v>
      </c>
      <c r="U13" s="20">
        <v>2033.8444487399197</v>
      </c>
      <c r="V13" s="23"/>
      <c r="W13" s="23"/>
      <c r="X13" s="23"/>
      <c r="Y13" s="17">
        <f>SUM(Q13:X13)</f>
        <v>3975.4941741649195</v>
      </c>
      <c r="Z13" s="18">
        <f>+P13-Y13</f>
        <v>16488.969685735079</v>
      </c>
    </row>
    <row r="14" spans="2:26" x14ac:dyDescent="0.25">
      <c r="B14" s="8" t="s">
        <v>89</v>
      </c>
      <c r="C14" s="9" t="s">
        <v>39</v>
      </c>
      <c r="D14" s="10">
        <v>2</v>
      </c>
      <c r="E14" s="11">
        <v>8024.8779607499991</v>
      </c>
      <c r="F14" s="13">
        <v>1100</v>
      </c>
      <c r="G14" s="13">
        <v>1133</v>
      </c>
      <c r="H14" s="13">
        <v>1140</v>
      </c>
      <c r="I14" s="13"/>
      <c r="J14" s="13">
        <v>704.2</v>
      </c>
      <c r="K14" s="13">
        <f>595+100</f>
        <v>695</v>
      </c>
      <c r="L14" s="13">
        <v>150</v>
      </c>
      <c r="M14" s="20">
        <v>561</v>
      </c>
      <c r="N14" s="21">
        <f>(E14/15)*2</f>
        <v>1069.9837280999998</v>
      </c>
      <c r="O14" s="21">
        <f t="shared" si="2"/>
        <v>3209.9511842999991</v>
      </c>
      <c r="P14" s="15">
        <f t="shared" si="1"/>
        <v>17788.012873150001</v>
      </c>
      <c r="Q14" s="20">
        <f>(E14*0.01)</f>
        <v>80.248779607499998</v>
      </c>
      <c r="R14" s="20">
        <f>500</f>
        <v>500</v>
      </c>
      <c r="S14" s="20">
        <f t="shared" si="3"/>
        <v>561.74145725250003</v>
      </c>
      <c r="T14" s="12">
        <f t="shared" si="0"/>
        <v>561.74145725250003</v>
      </c>
      <c r="U14" s="20">
        <v>1578.6018450605197</v>
      </c>
      <c r="V14" s="23"/>
      <c r="W14" s="23">
        <f>966.64</f>
        <v>966.64</v>
      </c>
      <c r="X14" s="23">
        <f>1933.28</f>
        <v>1933.28</v>
      </c>
      <c r="Y14" s="17">
        <f>SUM(Q14:X14)</f>
        <v>6182.2535391730198</v>
      </c>
      <c r="Z14" s="18">
        <f>+P14-Y14</f>
        <v>11605.759333976981</v>
      </c>
    </row>
    <row r="15" spans="2:26" ht="22.5" x14ac:dyDescent="0.25">
      <c r="B15" s="8" t="s">
        <v>89</v>
      </c>
      <c r="C15" s="9" t="s">
        <v>41</v>
      </c>
      <c r="D15" s="10">
        <v>1</v>
      </c>
      <c r="E15" s="11">
        <v>7531.9769857499987</v>
      </c>
      <c r="F15" s="13">
        <v>1100</v>
      </c>
      <c r="G15" s="13">
        <v>1133</v>
      </c>
      <c r="H15" s="13">
        <v>1140</v>
      </c>
      <c r="I15" s="13"/>
      <c r="J15" s="13">
        <v>658</v>
      </c>
      <c r="K15" s="13">
        <f>589+100</f>
        <v>689</v>
      </c>
      <c r="L15" s="13">
        <v>150</v>
      </c>
      <c r="M15" s="20">
        <v>536</v>
      </c>
      <c r="N15" s="21">
        <f>(E15/15)*2</f>
        <v>1004.2635980999999</v>
      </c>
      <c r="O15" s="21">
        <f t="shared" si="2"/>
        <v>3012.7907942999996</v>
      </c>
      <c r="P15" s="15">
        <f t="shared" si="1"/>
        <v>16955.031378150001</v>
      </c>
      <c r="Q15" s="20"/>
      <c r="R15" s="20"/>
      <c r="S15" s="20">
        <f t="shared" si="3"/>
        <v>527.23838900249996</v>
      </c>
      <c r="T15" s="12">
        <f t="shared" si="0"/>
        <v>527.23838900249996</v>
      </c>
      <c r="U15" s="20">
        <v>1436.9975972645198</v>
      </c>
      <c r="V15" s="23">
        <v>2735.66</v>
      </c>
      <c r="W15" s="23"/>
      <c r="X15" s="23"/>
      <c r="Y15" s="17">
        <f>SUM(Q15:X15)</f>
        <v>5227.1343752695193</v>
      </c>
      <c r="Z15" s="18">
        <f>+P15-Y15</f>
        <v>11727.897002880482</v>
      </c>
    </row>
    <row r="16" spans="2:26" ht="22.5" x14ac:dyDescent="0.25">
      <c r="B16" s="8" t="s">
        <v>90</v>
      </c>
      <c r="C16" s="9" t="s">
        <v>42</v>
      </c>
      <c r="D16" s="10"/>
      <c r="E16" s="11">
        <v>6069.96</v>
      </c>
      <c r="F16" s="27"/>
      <c r="G16" s="27"/>
      <c r="H16" s="27"/>
      <c r="I16" s="27"/>
      <c r="J16" s="28"/>
      <c r="K16" s="28"/>
      <c r="L16" s="27"/>
      <c r="M16" s="28"/>
      <c r="N16" s="29"/>
      <c r="O16" s="29"/>
      <c r="P16" s="15">
        <f t="shared" si="1"/>
        <v>6069.96</v>
      </c>
      <c r="Q16" s="20"/>
      <c r="R16" s="28"/>
      <c r="S16" s="28"/>
      <c r="T16" s="12"/>
      <c r="U16" s="20">
        <v>527.76699999999994</v>
      </c>
      <c r="V16" s="23"/>
      <c r="W16" s="23"/>
      <c r="X16" s="23"/>
      <c r="Y16" s="17">
        <f>SUM(Q16:X16)</f>
        <v>527.76699999999994</v>
      </c>
      <c r="Z16" s="18">
        <f>+P16-Y16</f>
        <v>5542.1930000000002</v>
      </c>
    </row>
    <row r="17" spans="2:27" x14ac:dyDescent="0.25">
      <c r="B17" s="8" t="s">
        <v>44</v>
      </c>
      <c r="C17" s="25" t="s">
        <v>45</v>
      </c>
      <c r="D17" s="31"/>
      <c r="E17" s="32">
        <f>24876/2</f>
        <v>12438</v>
      </c>
      <c r="F17" s="27"/>
      <c r="G17" s="27"/>
      <c r="H17" s="27"/>
      <c r="I17" s="27"/>
      <c r="J17" s="28"/>
      <c r="K17" s="28"/>
      <c r="L17" s="27"/>
      <c r="M17" s="28"/>
      <c r="N17" s="28"/>
      <c r="O17" s="29"/>
      <c r="P17" s="15">
        <f t="shared" si="1"/>
        <v>12438</v>
      </c>
      <c r="Q17" s="28"/>
      <c r="R17" s="28"/>
      <c r="S17" s="28"/>
      <c r="T17" s="32"/>
      <c r="U17" s="28">
        <v>1936</v>
      </c>
      <c r="V17" s="34"/>
      <c r="W17" s="34"/>
      <c r="X17" s="34"/>
      <c r="Y17" s="17">
        <f>SUM(Q17:X17)</f>
        <v>1936</v>
      </c>
      <c r="Z17" s="18">
        <f>+P17-Y17</f>
        <v>10502</v>
      </c>
    </row>
    <row r="18" spans="2:27" ht="15.75" thickBot="1" x14ac:dyDescent="0.3">
      <c r="B18" s="35" t="s">
        <v>46</v>
      </c>
      <c r="C18" s="36"/>
      <c r="D18" s="37"/>
      <c r="E18" s="38">
        <f t="shared" ref="E18:P18" si="4">SUM(E4:E17)</f>
        <v>161702.73686403618</v>
      </c>
      <c r="F18" s="38">
        <f t="shared" si="4"/>
        <v>9290</v>
      </c>
      <c r="G18" s="38">
        <f t="shared" si="4"/>
        <v>8921</v>
      </c>
      <c r="H18" s="38">
        <f t="shared" si="4"/>
        <v>8970</v>
      </c>
      <c r="I18" s="38">
        <f t="shared" si="4"/>
        <v>5450</v>
      </c>
      <c r="J18" s="38">
        <f t="shared" si="4"/>
        <v>11906.580000000002</v>
      </c>
      <c r="K18" s="38">
        <f t="shared" si="4"/>
        <v>5920.3</v>
      </c>
      <c r="L18" s="38">
        <f t="shared" si="4"/>
        <v>925</v>
      </c>
      <c r="M18" s="38">
        <f t="shared" si="4"/>
        <v>4961</v>
      </c>
      <c r="N18" s="38">
        <f t="shared" si="4"/>
        <v>8858.0731592714928</v>
      </c>
      <c r="O18" s="38">
        <f t="shared" si="4"/>
        <v>42236.004078947815</v>
      </c>
      <c r="P18" s="38">
        <f t="shared" si="4"/>
        <v>269140.69410225551</v>
      </c>
      <c r="Q18" s="38">
        <f>SUM(Q4:Q16)</f>
        <v>530.90210328749993</v>
      </c>
      <c r="R18" s="38">
        <f>SUM(R4:R16)</f>
        <v>2000</v>
      </c>
      <c r="S18" s="38">
        <f>SUM(S4:S16)</f>
        <v>5323.2582804825361</v>
      </c>
      <c r="T18" s="38">
        <f>SUM(T4:T16)</f>
        <v>10023.634380482537</v>
      </c>
      <c r="U18" s="38">
        <f>SUM(U4:U17)</f>
        <v>32297.070664628707</v>
      </c>
      <c r="V18" s="38">
        <f>SUM(V4:V16)</f>
        <v>15841.710000000001</v>
      </c>
      <c r="W18" s="38">
        <f>SUM(W4:W16)</f>
        <v>1933.28</v>
      </c>
      <c r="X18" s="38">
        <f>SUM(X4:X16)</f>
        <v>1933.28</v>
      </c>
      <c r="Y18" s="38">
        <f>SUM(Y4:Y17)</f>
        <v>69883.135428881273</v>
      </c>
      <c r="Z18" s="38">
        <f>SUM(Z4:Z16)</f>
        <v>188755.55867337421</v>
      </c>
      <c r="AA18" s="19"/>
    </row>
    <row r="19" spans="2:27" x14ac:dyDescent="0.25"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9" spans="2:27" x14ac:dyDescent="0.25">
      <c r="B29" t="s">
        <v>87</v>
      </c>
      <c r="C29" t="s">
        <v>91</v>
      </c>
    </row>
    <row r="30" spans="2:27" x14ac:dyDescent="0.25">
      <c r="B30" t="s">
        <v>88</v>
      </c>
      <c r="C30" t="s">
        <v>92</v>
      </c>
    </row>
    <row r="31" spans="2:27" x14ac:dyDescent="0.25">
      <c r="B31" t="s">
        <v>89</v>
      </c>
      <c r="C31" t="s">
        <v>93</v>
      </c>
    </row>
    <row r="32" spans="2:27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6"/>
  <sheetViews>
    <sheetView topLeftCell="A3" workbookViewId="0">
      <selection activeCell="C4" sqref="C4:AA25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9.28515625" bestFit="1" customWidth="1"/>
    <col min="7" max="14" width="8.7109375" customWidth="1"/>
    <col min="15" max="15" width="9.5703125" bestFit="1" customWidth="1"/>
    <col min="16" max="16" width="12.5703125" bestFit="1" customWidth="1"/>
    <col min="17" max="17" width="7.42578125" customWidth="1"/>
    <col min="18" max="19" width="8.7109375" bestFit="1" customWidth="1"/>
    <col min="20" max="20" width="9" customWidth="1"/>
    <col min="21" max="21" width="9.5703125" customWidth="1"/>
    <col min="22" max="22" width="7.85546875" customWidth="1"/>
    <col min="23" max="24" width="8.5703125" customWidth="1"/>
    <col min="25" max="26" width="10.140625" customWidth="1"/>
    <col min="27" max="27" width="9.5703125" customWidth="1"/>
    <col min="28" max="28" width="12.5703125" bestFit="1" customWidth="1"/>
    <col min="29" max="29" width="14.140625" bestFit="1" customWidth="1"/>
    <col min="31" max="31" width="10.140625" customWidth="1"/>
  </cols>
  <sheetData>
    <row r="1" spans="2:29" ht="18.75" x14ac:dyDescent="0.25">
      <c r="E1" s="1"/>
      <c r="F1" s="2" t="s">
        <v>56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9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29" ht="48.75" customHeight="1" x14ac:dyDescent="0.25">
      <c r="B3" s="47"/>
      <c r="C3" s="47" t="s">
        <v>1</v>
      </c>
      <c r="D3" s="4" t="s">
        <v>2</v>
      </c>
      <c r="E3" s="47" t="s">
        <v>3</v>
      </c>
      <c r="F3" s="47" t="s">
        <v>47</v>
      </c>
      <c r="G3" s="47" t="s">
        <v>48</v>
      </c>
      <c r="H3" s="47" t="s">
        <v>49</v>
      </c>
      <c r="I3" s="47" t="s">
        <v>50</v>
      </c>
      <c r="J3" s="47" t="s">
        <v>51</v>
      </c>
      <c r="K3" s="47" t="s">
        <v>52</v>
      </c>
      <c r="L3" s="47" t="s">
        <v>11</v>
      </c>
      <c r="M3" s="47" t="s">
        <v>53</v>
      </c>
      <c r="N3" s="47" t="s">
        <v>54</v>
      </c>
      <c r="O3" s="47" t="s">
        <v>55</v>
      </c>
      <c r="P3" s="48" t="s">
        <v>96</v>
      </c>
      <c r="Q3" s="5" t="s">
        <v>15</v>
      </c>
      <c r="R3" s="5" t="s">
        <v>16</v>
      </c>
      <c r="S3" s="5" t="s">
        <v>17</v>
      </c>
      <c r="T3" s="5" t="s">
        <v>18</v>
      </c>
      <c r="U3" s="5" t="s">
        <v>19</v>
      </c>
      <c r="V3" s="6" t="s">
        <v>20</v>
      </c>
      <c r="W3" s="6" t="s">
        <v>21</v>
      </c>
      <c r="X3" s="7" t="s">
        <v>22</v>
      </c>
      <c r="Y3" s="49" t="s">
        <v>83</v>
      </c>
      <c r="Z3" s="49" t="s">
        <v>84</v>
      </c>
      <c r="AA3" s="49" t="s">
        <v>85</v>
      </c>
      <c r="AB3" s="50" t="s">
        <v>86</v>
      </c>
    </row>
    <row r="4" spans="2:29" x14ac:dyDescent="0.25">
      <c r="B4" s="8" t="s">
        <v>87</v>
      </c>
      <c r="C4" s="9" t="s">
        <v>23</v>
      </c>
      <c r="D4" s="10">
        <v>17</v>
      </c>
      <c r="E4" s="11">
        <v>19286.689999999999</v>
      </c>
      <c r="F4" s="13"/>
      <c r="G4" s="12">
        <v>300</v>
      </c>
      <c r="H4" s="13"/>
      <c r="I4" s="12"/>
      <c r="J4" s="12"/>
      <c r="K4" s="12"/>
      <c r="L4" s="12"/>
      <c r="M4" s="12"/>
      <c r="N4" s="12"/>
      <c r="O4" s="14"/>
      <c r="P4" s="15">
        <f t="shared" ref="P4:P25" si="0">SUM(E4:O4)</f>
        <v>19586.689999999999</v>
      </c>
      <c r="Q4" s="12"/>
      <c r="R4" s="12"/>
      <c r="S4" s="12"/>
      <c r="T4" s="12">
        <f t="shared" ref="T4:T22" si="1">(E4*0.07)</f>
        <v>1350.0683000000001</v>
      </c>
      <c r="U4" s="12">
        <v>3400.1570879999995</v>
      </c>
      <c r="V4" s="16"/>
      <c r="W4" s="17"/>
      <c r="X4" s="17"/>
      <c r="Y4" s="17"/>
      <c r="Z4" s="17"/>
      <c r="AA4" s="17">
        <f>SUM(Q4:Z4)</f>
        <v>4750.2253879999998</v>
      </c>
      <c r="AB4" s="18">
        <f>+P4-AA4</f>
        <v>14836.464612</v>
      </c>
      <c r="AC4" s="3"/>
    </row>
    <row r="5" spans="2:29" x14ac:dyDescent="0.25">
      <c r="B5" s="8" t="s">
        <v>87</v>
      </c>
      <c r="C5" s="9" t="s">
        <v>24</v>
      </c>
      <c r="D5" s="10">
        <v>14</v>
      </c>
      <c r="E5" s="11">
        <v>14917.51</v>
      </c>
      <c r="F5" s="13"/>
      <c r="G5" s="20">
        <v>300</v>
      </c>
      <c r="H5" s="13"/>
      <c r="I5" s="20"/>
      <c r="J5" s="20"/>
      <c r="K5" s="20"/>
      <c r="L5" s="20"/>
      <c r="M5" s="20"/>
      <c r="N5" s="20"/>
      <c r="O5" s="21"/>
      <c r="P5" s="15">
        <f t="shared" si="0"/>
        <v>15217.51</v>
      </c>
      <c r="Q5" s="20"/>
      <c r="R5" s="20"/>
      <c r="S5" s="20"/>
      <c r="T5" s="12">
        <f t="shared" si="1"/>
        <v>1044.2257000000002</v>
      </c>
      <c r="U5" s="20">
        <v>2384.42164</v>
      </c>
      <c r="V5" s="22"/>
      <c r="W5" s="23"/>
      <c r="X5" s="23"/>
      <c r="Y5" s="23"/>
      <c r="Z5" s="23"/>
      <c r="AA5" s="17">
        <f t="shared" ref="AA5:AA24" si="2">SUM(Q5:Z5)</f>
        <v>3428.6473400000004</v>
      </c>
      <c r="AB5" s="18">
        <f t="shared" ref="AB5:AB25" si="3">+P5-AA5</f>
        <v>11788.862659999999</v>
      </c>
      <c r="AC5" s="3"/>
    </row>
    <row r="6" spans="2:29" x14ac:dyDescent="0.25">
      <c r="B6" s="8" t="s">
        <v>87</v>
      </c>
      <c r="C6" s="9" t="s">
        <v>25</v>
      </c>
      <c r="D6" s="10">
        <v>14</v>
      </c>
      <c r="E6" s="11">
        <v>14917.51</v>
      </c>
      <c r="F6" s="13"/>
      <c r="G6" s="20">
        <v>300</v>
      </c>
      <c r="H6" s="13"/>
      <c r="I6" s="20"/>
      <c r="J6" s="20"/>
      <c r="K6" s="20"/>
      <c r="L6" s="20"/>
      <c r="M6" s="20"/>
      <c r="N6" s="20"/>
      <c r="O6" s="21"/>
      <c r="P6" s="15">
        <f t="shared" si="0"/>
        <v>15217.51</v>
      </c>
      <c r="Q6" s="20"/>
      <c r="R6" s="20"/>
      <c r="S6" s="20"/>
      <c r="T6" s="12">
        <f t="shared" si="1"/>
        <v>1044.2257000000002</v>
      </c>
      <c r="U6" s="20">
        <v>2384.42164</v>
      </c>
      <c r="V6" s="22"/>
      <c r="W6" s="23"/>
      <c r="X6" s="23"/>
      <c r="Y6" s="23"/>
      <c r="Z6" s="23"/>
      <c r="AA6" s="17">
        <f t="shared" si="2"/>
        <v>3428.6473400000004</v>
      </c>
      <c r="AB6" s="18">
        <f t="shared" si="3"/>
        <v>11788.862659999999</v>
      </c>
      <c r="AC6" s="3"/>
    </row>
    <row r="7" spans="2:29" x14ac:dyDescent="0.25">
      <c r="B7" s="8" t="s">
        <v>88</v>
      </c>
      <c r="C7" s="9" t="s">
        <v>26</v>
      </c>
      <c r="D7" s="10">
        <v>13</v>
      </c>
      <c r="E7" s="11">
        <v>15022.1</v>
      </c>
      <c r="F7" s="43">
        <v>900</v>
      </c>
      <c r="G7" s="43">
        <v>900</v>
      </c>
      <c r="H7" s="43">
        <v>900</v>
      </c>
      <c r="I7" s="13">
        <v>1000</v>
      </c>
      <c r="J7" s="20"/>
      <c r="K7" s="20">
        <v>750</v>
      </c>
      <c r="L7" s="13"/>
      <c r="M7" s="20"/>
      <c r="N7" s="20"/>
      <c r="O7" s="21">
        <f t="shared" ref="O7:O22" si="4">(E7/15)*10</f>
        <v>10014.733333333334</v>
      </c>
      <c r="P7" s="15">
        <f t="shared" si="0"/>
        <v>29486.833333333332</v>
      </c>
      <c r="Q7" s="20"/>
      <c r="R7" s="20"/>
      <c r="S7" s="20"/>
      <c r="T7" s="12">
        <f t="shared" si="1"/>
        <v>1051.547</v>
      </c>
      <c r="U7" s="20">
        <v>3957.05816</v>
      </c>
      <c r="V7" s="22"/>
      <c r="W7" s="23"/>
      <c r="X7" s="23"/>
      <c r="Y7" s="23"/>
      <c r="Z7" s="23"/>
      <c r="AA7" s="17">
        <f t="shared" si="2"/>
        <v>5008.6051600000001</v>
      </c>
      <c r="AB7" s="18">
        <f t="shared" si="3"/>
        <v>24478.228173333333</v>
      </c>
      <c r="AC7" s="3"/>
    </row>
    <row r="8" spans="2:29" ht="15" customHeight="1" x14ac:dyDescent="0.25">
      <c r="B8" s="8" t="s">
        <v>88</v>
      </c>
      <c r="C8" s="9" t="s">
        <v>27</v>
      </c>
      <c r="D8" s="10">
        <v>13</v>
      </c>
      <c r="E8" s="11">
        <v>15022.1</v>
      </c>
      <c r="F8" s="43">
        <v>900</v>
      </c>
      <c r="G8" s="43">
        <v>900</v>
      </c>
      <c r="H8" s="43">
        <v>900</v>
      </c>
      <c r="I8" s="13">
        <v>1000</v>
      </c>
      <c r="J8" s="20"/>
      <c r="K8" s="20">
        <v>750</v>
      </c>
      <c r="L8" s="13"/>
      <c r="M8" s="20"/>
      <c r="N8" s="20"/>
      <c r="O8" s="21">
        <f t="shared" si="4"/>
        <v>10014.733333333334</v>
      </c>
      <c r="P8" s="15">
        <f t="shared" si="0"/>
        <v>29486.833333333332</v>
      </c>
      <c r="Q8" s="20"/>
      <c r="R8" s="20"/>
      <c r="S8" s="20"/>
      <c r="T8" s="12">
        <f t="shared" si="1"/>
        <v>1051.547</v>
      </c>
      <c r="U8" s="20">
        <v>3957.05816</v>
      </c>
      <c r="V8" s="22"/>
      <c r="W8" s="23"/>
      <c r="X8" s="23"/>
      <c r="Y8" s="23"/>
      <c r="Z8" s="23"/>
      <c r="AA8" s="17">
        <f t="shared" si="2"/>
        <v>5008.6051600000001</v>
      </c>
      <c r="AB8" s="18">
        <f t="shared" si="3"/>
        <v>24478.228173333333</v>
      </c>
      <c r="AC8" s="3"/>
    </row>
    <row r="9" spans="2:29" ht="15" customHeight="1" x14ac:dyDescent="0.25">
      <c r="B9" s="8" t="s">
        <v>88</v>
      </c>
      <c r="C9" s="9" t="s">
        <v>28</v>
      </c>
      <c r="D9" s="10">
        <v>13</v>
      </c>
      <c r="E9" s="11">
        <v>15022.1</v>
      </c>
      <c r="F9" s="43">
        <v>900</v>
      </c>
      <c r="G9" s="43">
        <v>900</v>
      </c>
      <c r="H9" s="43">
        <v>900</v>
      </c>
      <c r="I9" s="13">
        <v>1000</v>
      </c>
      <c r="J9" s="20"/>
      <c r="K9" s="20">
        <v>750</v>
      </c>
      <c r="L9" s="13"/>
      <c r="M9" s="20"/>
      <c r="N9" s="20"/>
      <c r="O9" s="21">
        <f t="shared" si="4"/>
        <v>10014.733333333334</v>
      </c>
      <c r="P9" s="15">
        <f t="shared" si="0"/>
        <v>29486.833333333332</v>
      </c>
      <c r="Q9" s="20"/>
      <c r="R9" s="20"/>
      <c r="S9" s="20"/>
      <c r="T9" s="12">
        <f t="shared" si="1"/>
        <v>1051.547</v>
      </c>
      <c r="U9" s="20">
        <v>3957.05816</v>
      </c>
      <c r="V9" s="22"/>
      <c r="W9" s="23"/>
      <c r="X9" s="23"/>
      <c r="Y9" s="23"/>
      <c r="Z9" s="23"/>
      <c r="AA9" s="17">
        <f t="shared" si="2"/>
        <v>5008.6051600000001</v>
      </c>
      <c r="AB9" s="18">
        <f t="shared" si="3"/>
        <v>24478.228173333333</v>
      </c>
      <c r="AC9" s="3"/>
    </row>
    <row r="10" spans="2:29" ht="15" customHeight="1" x14ac:dyDescent="0.25">
      <c r="B10" s="8" t="s">
        <v>88</v>
      </c>
      <c r="C10" s="9" t="s">
        <v>29</v>
      </c>
      <c r="D10" s="10">
        <v>9</v>
      </c>
      <c r="E10" s="11">
        <v>11333.03</v>
      </c>
      <c r="F10" s="43">
        <v>900</v>
      </c>
      <c r="G10" s="43">
        <v>900</v>
      </c>
      <c r="H10" s="43">
        <v>900</v>
      </c>
      <c r="I10" s="13">
        <v>1000</v>
      </c>
      <c r="J10" s="20"/>
      <c r="K10" s="20">
        <v>566</v>
      </c>
      <c r="L10" s="13"/>
      <c r="M10" s="20"/>
      <c r="N10" s="20"/>
      <c r="O10" s="21">
        <f t="shared" si="4"/>
        <v>7555.3533333333335</v>
      </c>
      <c r="P10" s="15">
        <f t="shared" si="0"/>
        <v>23154.383333333335</v>
      </c>
      <c r="Q10" s="20"/>
      <c r="R10" s="20"/>
      <c r="S10" s="20"/>
      <c r="T10" s="12">
        <f t="shared" si="1"/>
        <v>793.3121000000001</v>
      </c>
      <c r="U10" s="20">
        <v>2778.5274080000004</v>
      </c>
      <c r="V10" s="22"/>
      <c r="W10" s="23"/>
      <c r="X10" s="23"/>
      <c r="Y10" s="23"/>
      <c r="Z10" s="23"/>
      <c r="AA10" s="17">
        <f t="shared" si="2"/>
        <v>3571.8395080000005</v>
      </c>
      <c r="AB10" s="18">
        <f t="shared" si="3"/>
        <v>19582.543825333334</v>
      </c>
      <c r="AC10" s="3"/>
    </row>
    <row r="11" spans="2:29" ht="15" customHeight="1" x14ac:dyDescent="0.25">
      <c r="B11" s="8" t="s">
        <v>89</v>
      </c>
      <c r="C11" s="9" t="s">
        <v>30</v>
      </c>
      <c r="D11" s="10">
        <v>10</v>
      </c>
      <c r="E11" s="11">
        <v>15424.35954953621</v>
      </c>
      <c r="F11" s="43">
        <v>1133</v>
      </c>
      <c r="G11" s="43">
        <v>1133</v>
      </c>
      <c r="H11" s="43">
        <v>1133</v>
      </c>
      <c r="I11" s="13">
        <v>1000</v>
      </c>
      <c r="J11" s="20"/>
      <c r="K11" s="20">
        <v>606</v>
      </c>
      <c r="L11" s="13"/>
      <c r="M11" s="20">
        <v>999</v>
      </c>
      <c r="N11" s="20"/>
      <c r="O11" s="21">
        <f t="shared" si="4"/>
        <v>10282.906366357473</v>
      </c>
      <c r="P11" s="15">
        <f t="shared" si="0"/>
        <v>31711.26591589368</v>
      </c>
      <c r="Q11" s="20"/>
      <c r="R11" s="20"/>
      <c r="S11" s="20">
        <f t="shared" ref="S11:S22" si="5">(E11*0.07)</f>
        <v>1079.7051684675348</v>
      </c>
      <c r="T11" s="12">
        <f t="shared" si="1"/>
        <v>1079.7051684675348</v>
      </c>
      <c r="U11" s="20">
        <v>4238.5563547345555</v>
      </c>
      <c r="V11" s="22"/>
      <c r="W11" s="23"/>
      <c r="X11" s="23"/>
      <c r="Y11" s="23"/>
      <c r="Z11" s="23"/>
      <c r="AA11" s="17">
        <f t="shared" si="2"/>
        <v>6397.9666916696251</v>
      </c>
      <c r="AB11" s="18">
        <f t="shared" si="3"/>
        <v>25313.299224224054</v>
      </c>
      <c r="AC11" s="3"/>
    </row>
    <row r="12" spans="2:29" ht="15" customHeight="1" x14ac:dyDescent="0.25">
      <c r="B12" s="8" t="s">
        <v>89</v>
      </c>
      <c r="C12" s="9" t="s">
        <v>31</v>
      </c>
      <c r="D12" s="10">
        <v>8</v>
      </c>
      <c r="E12" s="11">
        <v>13360.854858749999</v>
      </c>
      <c r="F12" s="43">
        <v>1133</v>
      </c>
      <c r="G12" s="43">
        <v>1133</v>
      </c>
      <c r="H12" s="43">
        <v>1133</v>
      </c>
      <c r="I12" s="13">
        <v>1000</v>
      </c>
      <c r="J12" s="12"/>
      <c r="K12" s="20">
        <v>525</v>
      </c>
      <c r="L12" s="13">
        <f>225</f>
        <v>225</v>
      </c>
      <c r="M12" s="13">
        <v>925</v>
      </c>
      <c r="N12" s="13"/>
      <c r="O12" s="21">
        <f t="shared" si="4"/>
        <v>8907.2365725</v>
      </c>
      <c r="P12" s="15">
        <f t="shared" si="0"/>
        <v>28342.091431249995</v>
      </c>
      <c r="Q12" s="20">
        <f t="shared" ref="Q12:Q21" si="6">(E12*0.01)</f>
        <v>133.6085485875</v>
      </c>
      <c r="R12" s="20">
        <f>1000</f>
        <v>1000</v>
      </c>
      <c r="S12" s="20">
        <f t="shared" si="5"/>
        <v>935.2598401125</v>
      </c>
      <c r="T12" s="12">
        <f t="shared" si="1"/>
        <v>935.2598401125</v>
      </c>
      <c r="U12" s="20">
        <v>3626.133283704</v>
      </c>
      <c r="V12" s="22"/>
      <c r="W12" s="23"/>
      <c r="X12" s="23"/>
      <c r="Y12" s="23">
        <f>966.64</f>
        <v>966.64</v>
      </c>
      <c r="Z12" s="23"/>
      <c r="AA12" s="17">
        <f t="shared" si="2"/>
        <v>7596.9015125165006</v>
      </c>
      <c r="AB12" s="18">
        <f t="shared" si="3"/>
        <v>20745.189918733493</v>
      </c>
      <c r="AC12" s="3"/>
    </row>
    <row r="13" spans="2:29" ht="22.5" x14ac:dyDescent="0.25">
      <c r="B13" s="8" t="s">
        <v>89</v>
      </c>
      <c r="C13" s="25" t="s">
        <v>32</v>
      </c>
      <c r="D13" s="26">
        <v>7</v>
      </c>
      <c r="E13" s="11">
        <v>12482.481170250001</v>
      </c>
      <c r="F13" s="43">
        <v>1133</v>
      </c>
      <c r="G13" s="43">
        <v>1133</v>
      </c>
      <c r="H13" s="43">
        <v>1133</v>
      </c>
      <c r="I13" s="13">
        <v>1000</v>
      </c>
      <c r="J13" s="12">
        <v>295</v>
      </c>
      <c r="K13" s="20">
        <v>491</v>
      </c>
      <c r="L13" s="20">
        <v>325</v>
      </c>
      <c r="M13" s="20">
        <v>893</v>
      </c>
      <c r="N13" s="20"/>
      <c r="O13" s="21">
        <f t="shared" si="4"/>
        <v>8321.6541135000007</v>
      </c>
      <c r="P13" s="15">
        <f t="shared" si="0"/>
        <v>27207.135283750002</v>
      </c>
      <c r="Q13" s="20">
        <f t="shared" si="6"/>
        <v>124.82481170250001</v>
      </c>
      <c r="R13" s="20"/>
      <c r="S13" s="20">
        <f t="shared" si="5"/>
        <v>873.7736819175002</v>
      </c>
      <c r="T13" s="12">
        <f t="shared" si="1"/>
        <v>873.7736819175002</v>
      </c>
      <c r="U13" s="20">
        <v>3401.1256949904</v>
      </c>
      <c r="V13" s="23"/>
      <c r="W13" s="22"/>
      <c r="X13" s="22"/>
      <c r="Y13" s="22"/>
      <c r="Z13" s="22"/>
      <c r="AA13" s="17">
        <f t="shared" si="2"/>
        <v>5273.4978705279009</v>
      </c>
      <c r="AB13" s="18">
        <f t="shared" si="3"/>
        <v>21933.637413222103</v>
      </c>
      <c r="AC13" s="3"/>
    </row>
    <row r="14" spans="2:29" x14ac:dyDescent="0.25">
      <c r="B14" s="8" t="s">
        <v>89</v>
      </c>
      <c r="C14" s="25" t="s">
        <v>33</v>
      </c>
      <c r="D14" s="26">
        <v>7</v>
      </c>
      <c r="E14" s="11">
        <v>12482.481170250001</v>
      </c>
      <c r="F14" s="43">
        <v>1133</v>
      </c>
      <c r="G14" s="43">
        <v>1133</v>
      </c>
      <c r="H14" s="43">
        <v>1133</v>
      </c>
      <c r="I14" s="13">
        <v>1000</v>
      </c>
      <c r="J14" s="12">
        <v>295</v>
      </c>
      <c r="K14" s="20">
        <v>491</v>
      </c>
      <c r="L14" s="20"/>
      <c r="M14" s="20">
        <v>893</v>
      </c>
      <c r="N14" s="20">
        <v>800</v>
      </c>
      <c r="O14" s="21">
        <f t="shared" si="4"/>
        <v>8321.6541135000007</v>
      </c>
      <c r="P14" s="15">
        <f t="shared" si="0"/>
        <v>27682.135283750002</v>
      </c>
      <c r="Q14" s="20">
        <f t="shared" si="6"/>
        <v>124.82481170250001</v>
      </c>
      <c r="R14" s="20"/>
      <c r="S14" s="20">
        <f t="shared" si="5"/>
        <v>873.7736819175002</v>
      </c>
      <c r="T14" s="12">
        <f t="shared" si="1"/>
        <v>873.7736819175002</v>
      </c>
      <c r="U14" s="20">
        <v>3418.7656949904003</v>
      </c>
      <c r="V14" s="22"/>
      <c r="W14" s="23"/>
      <c r="X14" s="22"/>
      <c r="Y14" s="22"/>
      <c r="Z14" s="22"/>
      <c r="AA14" s="17">
        <f t="shared" si="2"/>
        <v>5291.1378705279003</v>
      </c>
      <c r="AB14" s="18">
        <f t="shared" si="3"/>
        <v>22390.997413222103</v>
      </c>
      <c r="AC14" s="3"/>
    </row>
    <row r="15" spans="2:29" x14ac:dyDescent="0.25">
      <c r="B15" s="8" t="s">
        <v>89</v>
      </c>
      <c r="C15" s="9" t="s">
        <v>34</v>
      </c>
      <c r="D15" s="10">
        <v>5</v>
      </c>
      <c r="E15" s="11">
        <v>10948.878517500001</v>
      </c>
      <c r="F15" s="43">
        <v>1133</v>
      </c>
      <c r="G15" s="43">
        <v>1133</v>
      </c>
      <c r="H15" s="43">
        <v>1133</v>
      </c>
      <c r="I15" s="13">
        <v>1000</v>
      </c>
      <c r="J15" s="13">
        <v>260</v>
      </c>
      <c r="K15" s="20"/>
      <c r="L15" s="20">
        <f>525</f>
        <v>525</v>
      </c>
      <c r="M15" s="20">
        <v>838</v>
      </c>
      <c r="N15" s="20"/>
      <c r="O15" s="21">
        <f t="shared" si="4"/>
        <v>7299.2523450000008</v>
      </c>
      <c r="P15" s="15">
        <f t="shared" si="0"/>
        <v>24270.130862500002</v>
      </c>
      <c r="Q15" s="20">
        <f t="shared" si="6"/>
        <v>109.48878517500002</v>
      </c>
      <c r="R15" s="20"/>
      <c r="S15" s="20">
        <f t="shared" si="5"/>
        <v>766.42149622500017</v>
      </c>
      <c r="T15" s="12">
        <f t="shared" si="1"/>
        <v>766.42149622500017</v>
      </c>
      <c r="U15" s="20">
        <v>2898.9023030880003</v>
      </c>
      <c r="V15" s="22">
        <f>2583</f>
        <v>2583</v>
      </c>
      <c r="W15" s="23"/>
      <c r="X15" s="23"/>
      <c r="Y15" s="23"/>
      <c r="Z15" s="23"/>
      <c r="AA15" s="17">
        <f t="shared" si="2"/>
        <v>7124.2340807130004</v>
      </c>
      <c r="AB15" s="18">
        <f t="shared" si="3"/>
        <v>17145.896781787</v>
      </c>
      <c r="AC15" s="3"/>
    </row>
    <row r="16" spans="2:29" x14ac:dyDescent="0.25">
      <c r="B16" s="8" t="s">
        <v>89</v>
      </c>
      <c r="C16" s="9" t="s">
        <v>35</v>
      </c>
      <c r="D16" s="10">
        <v>5</v>
      </c>
      <c r="E16" s="11">
        <v>10948.878517500001</v>
      </c>
      <c r="F16" s="43">
        <v>1133</v>
      </c>
      <c r="G16" s="43">
        <v>1133</v>
      </c>
      <c r="H16" s="43">
        <v>1133</v>
      </c>
      <c r="I16" s="13">
        <v>1000</v>
      </c>
      <c r="J16" s="13">
        <v>260</v>
      </c>
      <c r="K16" s="20"/>
      <c r="L16" s="13">
        <v>150</v>
      </c>
      <c r="M16" s="20">
        <v>838</v>
      </c>
      <c r="N16" s="20"/>
      <c r="O16" s="21">
        <f t="shared" si="4"/>
        <v>7299.2523450000008</v>
      </c>
      <c r="P16" s="15">
        <f t="shared" si="0"/>
        <v>23895.130862500002</v>
      </c>
      <c r="Q16" s="20">
        <f t="shared" si="6"/>
        <v>109.48878517500002</v>
      </c>
      <c r="R16" s="20">
        <f>500</f>
        <v>500</v>
      </c>
      <c r="S16" s="20">
        <f t="shared" si="5"/>
        <v>766.42149622500017</v>
      </c>
      <c r="T16" s="12">
        <f t="shared" si="1"/>
        <v>766.42149622500017</v>
      </c>
      <c r="U16" s="20">
        <v>2810.7023030880005</v>
      </c>
      <c r="V16" s="22"/>
      <c r="W16" s="23"/>
      <c r="X16" s="23"/>
      <c r="Y16" s="23"/>
      <c r="Z16" s="23"/>
      <c r="AA16" s="17">
        <f t="shared" si="2"/>
        <v>4953.0340807130015</v>
      </c>
      <c r="AB16" s="18">
        <f t="shared" si="3"/>
        <v>18942.096781787001</v>
      </c>
      <c r="AC16" s="3"/>
    </row>
    <row r="17" spans="2:29" x14ac:dyDescent="0.25">
      <c r="B17" s="8" t="s">
        <v>89</v>
      </c>
      <c r="C17" s="9" t="s">
        <v>36</v>
      </c>
      <c r="D17" s="10">
        <v>4</v>
      </c>
      <c r="E17" s="11">
        <v>9610.9981694999988</v>
      </c>
      <c r="F17" s="43">
        <v>1133</v>
      </c>
      <c r="G17" s="43">
        <v>1133</v>
      </c>
      <c r="H17" s="43">
        <v>1133</v>
      </c>
      <c r="I17" s="13">
        <v>1000</v>
      </c>
      <c r="J17" s="13">
        <v>230</v>
      </c>
      <c r="K17" s="20"/>
      <c r="L17" s="13">
        <v>150</v>
      </c>
      <c r="M17" s="20">
        <v>790</v>
      </c>
      <c r="N17" s="20"/>
      <c r="O17" s="21">
        <f t="shared" si="4"/>
        <v>6407.3321129999986</v>
      </c>
      <c r="P17" s="15">
        <f t="shared" si="0"/>
        <v>21587.330282499999</v>
      </c>
      <c r="Q17" s="20">
        <f t="shared" si="6"/>
        <v>96.109981694999988</v>
      </c>
      <c r="R17" s="20"/>
      <c r="S17" s="20">
        <f t="shared" si="5"/>
        <v>672.76987186500003</v>
      </c>
      <c r="T17" s="12">
        <f t="shared" si="1"/>
        <v>672.76987186500003</v>
      </c>
      <c r="U17" s="20">
        <v>2392.9985826735997</v>
      </c>
      <c r="V17" s="22"/>
      <c r="W17" s="23"/>
      <c r="X17" s="23"/>
      <c r="Y17" s="23"/>
      <c r="Z17" s="23"/>
      <c r="AA17" s="17">
        <f t="shared" si="2"/>
        <v>3834.6483080986</v>
      </c>
      <c r="AB17" s="18">
        <f t="shared" si="3"/>
        <v>17752.681974401399</v>
      </c>
      <c r="AC17" s="3"/>
    </row>
    <row r="18" spans="2:29" x14ac:dyDescent="0.25">
      <c r="B18" s="8" t="s">
        <v>89</v>
      </c>
      <c r="C18" s="9" t="s">
        <v>37</v>
      </c>
      <c r="D18" s="10">
        <v>4</v>
      </c>
      <c r="E18" s="11">
        <v>9610.9981694999988</v>
      </c>
      <c r="F18" s="43">
        <v>1133</v>
      </c>
      <c r="G18" s="43">
        <v>1133</v>
      </c>
      <c r="H18" s="43">
        <v>1133</v>
      </c>
      <c r="I18" s="13">
        <v>1000</v>
      </c>
      <c r="J18" s="13">
        <v>230</v>
      </c>
      <c r="K18" s="20"/>
      <c r="L18" s="13">
        <v>150</v>
      </c>
      <c r="M18" s="20">
        <v>790</v>
      </c>
      <c r="N18" s="20"/>
      <c r="O18" s="21">
        <f t="shared" si="4"/>
        <v>6407.3321129999986</v>
      </c>
      <c r="P18" s="15">
        <f t="shared" si="0"/>
        <v>21587.330282499999</v>
      </c>
      <c r="Q18" s="20">
        <f t="shared" si="6"/>
        <v>96.109981694999988</v>
      </c>
      <c r="R18" s="20">
        <f>500</f>
        <v>500</v>
      </c>
      <c r="S18" s="20">
        <f t="shared" si="5"/>
        <v>672.76987186500003</v>
      </c>
      <c r="T18" s="12">
        <f t="shared" si="1"/>
        <v>672.76987186500003</v>
      </c>
      <c r="U18" s="20">
        <v>2392.9985826735997</v>
      </c>
      <c r="V18" s="22"/>
      <c r="W18" s="23"/>
      <c r="X18" s="23"/>
      <c r="Y18" s="23"/>
      <c r="Z18" s="23"/>
      <c r="AA18" s="17">
        <f t="shared" si="2"/>
        <v>4334.6483080986</v>
      </c>
      <c r="AB18" s="18">
        <f t="shared" si="3"/>
        <v>17252.681974401399</v>
      </c>
      <c r="AC18" s="3"/>
    </row>
    <row r="19" spans="2:29" x14ac:dyDescent="0.25">
      <c r="B19" s="8" t="s">
        <v>89</v>
      </c>
      <c r="C19" s="9" t="s">
        <v>38</v>
      </c>
      <c r="D19" s="10">
        <v>2</v>
      </c>
      <c r="E19" s="11">
        <v>8024.8779607499991</v>
      </c>
      <c r="F19" s="43">
        <v>1133</v>
      </c>
      <c r="G19" s="43">
        <v>1133</v>
      </c>
      <c r="H19" s="43">
        <v>1133</v>
      </c>
      <c r="I19" s="13">
        <v>1000</v>
      </c>
      <c r="J19" s="13">
        <v>190</v>
      </c>
      <c r="K19" s="20"/>
      <c r="L19" s="13">
        <v>150</v>
      </c>
      <c r="M19" s="20">
        <v>733</v>
      </c>
      <c r="N19" s="20">
        <v>800</v>
      </c>
      <c r="O19" s="21">
        <f t="shared" si="4"/>
        <v>5349.9186404999991</v>
      </c>
      <c r="P19" s="15">
        <f t="shared" si="0"/>
        <v>19646.79660125</v>
      </c>
      <c r="Q19" s="20">
        <f t="shared" si="6"/>
        <v>80.248779607499998</v>
      </c>
      <c r="R19" s="20">
        <f>1000</f>
        <v>1000</v>
      </c>
      <c r="S19" s="20">
        <f t="shared" si="5"/>
        <v>561.74145725250003</v>
      </c>
      <c r="T19" s="12">
        <f t="shared" si="1"/>
        <v>561.74145725250003</v>
      </c>
      <c r="U19" s="20">
        <v>2016.3519472216003</v>
      </c>
      <c r="V19" s="22"/>
      <c r="W19" s="23"/>
      <c r="X19" s="23"/>
      <c r="Y19" s="23"/>
      <c r="Z19" s="23"/>
      <c r="AA19" s="17">
        <f t="shared" si="2"/>
        <v>4220.0836413341003</v>
      </c>
      <c r="AB19" s="18">
        <f t="shared" si="3"/>
        <v>15426.7129599159</v>
      </c>
      <c r="AC19" s="3"/>
    </row>
    <row r="20" spans="2:29" x14ac:dyDescent="0.25">
      <c r="B20" s="8" t="s">
        <v>89</v>
      </c>
      <c r="C20" s="9" t="s">
        <v>39</v>
      </c>
      <c r="D20" s="10">
        <v>2</v>
      </c>
      <c r="E20" s="11">
        <v>8024.8779607499991</v>
      </c>
      <c r="F20" s="43">
        <v>1133</v>
      </c>
      <c r="G20" s="43">
        <v>1133</v>
      </c>
      <c r="H20" s="43">
        <v>1133</v>
      </c>
      <c r="I20" s="13">
        <v>1000</v>
      </c>
      <c r="J20" s="13">
        <v>190</v>
      </c>
      <c r="K20" s="20"/>
      <c r="L20" s="13">
        <v>150</v>
      </c>
      <c r="M20" s="20">
        <v>733</v>
      </c>
      <c r="N20" s="20"/>
      <c r="O20" s="21">
        <f t="shared" si="4"/>
        <v>5349.9186404999991</v>
      </c>
      <c r="P20" s="15">
        <f t="shared" si="0"/>
        <v>18846.79660125</v>
      </c>
      <c r="Q20" s="20">
        <f t="shared" si="6"/>
        <v>80.248779607499998</v>
      </c>
      <c r="R20" s="20">
        <f>500</f>
        <v>500</v>
      </c>
      <c r="S20" s="20">
        <f t="shared" si="5"/>
        <v>561.74145725250003</v>
      </c>
      <c r="T20" s="12">
        <f t="shared" si="1"/>
        <v>561.74145725250003</v>
      </c>
      <c r="U20" s="20">
        <v>1930.9119472216003</v>
      </c>
      <c r="V20" s="22"/>
      <c r="W20" s="23"/>
      <c r="X20" s="23"/>
      <c r="Y20" s="23">
        <f>966.64</f>
        <v>966.64</v>
      </c>
      <c r="Z20" s="23">
        <f>1933.28</f>
        <v>1933.28</v>
      </c>
      <c r="AA20" s="17">
        <f t="shared" si="2"/>
        <v>6534.5636413340999</v>
      </c>
      <c r="AB20" s="18">
        <f t="shared" si="3"/>
        <v>12312.2329599159</v>
      </c>
      <c r="AC20" s="3"/>
    </row>
    <row r="21" spans="2:29" ht="22.5" x14ac:dyDescent="0.25">
      <c r="B21" s="8" t="s">
        <v>89</v>
      </c>
      <c r="C21" s="9" t="s">
        <v>40</v>
      </c>
      <c r="D21" s="10"/>
      <c r="E21" s="11">
        <v>7531.9769857499987</v>
      </c>
      <c r="F21" s="43">
        <v>1133</v>
      </c>
      <c r="G21" s="43">
        <v>1133</v>
      </c>
      <c r="H21" s="43">
        <v>1133</v>
      </c>
      <c r="I21" s="13">
        <v>1000</v>
      </c>
      <c r="J21" s="13">
        <v>180</v>
      </c>
      <c r="K21" s="20"/>
      <c r="L21" s="13">
        <v>150</v>
      </c>
      <c r="M21" s="20">
        <v>715</v>
      </c>
      <c r="N21" s="20">
        <v>800</v>
      </c>
      <c r="O21" s="21">
        <f t="shared" si="4"/>
        <v>5021.3179904999997</v>
      </c>
      <c r="P21" s="15">
        <f t="shared" si="0"/>
        <v>18797.294976249999</v>
      </c>
      <c r="Q21" s="20">
        <f t="shared" si="6"/>
        <v>75.319769857499992</v>
      </c>
      <c r="R21" s="20">
        <v>1000</v>
      </c>
      <c r="S21" s="20">
        <f t="shared" si="5"/>
        <v>527.23838900249996</v>
      </c>
      <c r="T21" s="12">
        <f t="shared" si="1"/>
        <v>527.23838900249996</v>
      </c>
      <c r="U21" s="20">
        <v>1872.9833495416001</v>
      </c>
      <c r="V21" s="22"/>
      <c r="W21" s="23"/>
      <c r="X21" s="23"/>
      <c r="Y21" s="23"/>
      <c r="Z21" s="23"/>
      <c r="AA21" s="17">
        <f t="shared" si="2"/>
        <v>4002.7798974040998</v>
      </c>
      <c r="AB21" s="18">
        <f t="shared" si="3"/>
        <v>14794.5150788459</v>
      </c>
      <c r="AC21" s="3"/>
    </row>
    <row r="22" spans="2:29" ht="22.5" x14ac:dyDescent="0.25">
      <c r="B22" s="8" t="s">
        <v>89</v>
      </c>
      <c r="C22" s="9" t="s">
        <v>41</v>
      </c>
      <c r="D22" s="10">
        <v>1</v>
      </c>
      <c r="E22" s="11">
        <v>7531.9769857499987</v>
      </c>
      <c r="F22" s="43">
        <v>1133</v>
      </c>
      <c r="G22" s="43">
        <v>1133</v>
      </c>
      <c r="H22" s="43">
        <v>1133</v>
      </c>
      <c r="I22" s="13">
        <v>1000</v>
      </c>
      <c r="J22" s="13">
        <v>180</v>
      </c>
      <c r="K22" s="20"/>
      <c r="L22" s="13"/>
      <c r="M22" s="20">
        <v>715</v>
      </c>
      <c r="N22" s="20"/>
      <c r="O22" s="21">
        <f t="shared" si="4"/>
        <v>5021.3179904999997</v>
      </c>
      <c r="P22" s="15">
        <f t="shared" si="0"/>
        <v>17847.294976249999</v>
      </c>
      <c r="Q22" s="20"/>
      <c r="R22" s="20"/>
      <c r="S22" s="20">
        <f t="shared" si="5"/>
        <v>527.23838900249996</v>
      </c>
      <c r="T22" s="12">
        <f t="shared" si="1"/>
        <v>527.23838900249996</v>
      </c>
      <c r="U22" s="20">
        <v>1755.5033495416001</v>
      </c>
      <c r="V22" s="22"/>
      <c r="W22" s="23"/>
      <c r="X22" s="23"/>
      <c r="Y22" s="23"/>
      <c r="Z22" s="23"/>
      <c r="AA22" s="17">
        <f t="shared" si="2"/>
        <v>2809.9801275465998</v>
      </c>
      <c r="AB22" s="18">
        <f t="shared" si="3"/>
        <v>15037.3148487034</v>
      </c>
      <c r="AC22" s="3"/>
    </row>
    <row r="23" spans="2:29" ht="22.5" x14ac:dyDescent="0.25">
      <c r="B23" s="8" t="s">
        <v>90</v>
      </c>
      <c r="C23" s="9" t="s">
        <v>42</v>
      </c>
      <c r="D23" s="10"/>
      <c r="E23" s="11">
        <v>6069.96</v>
      </c>
      <c r="F23" s="30"/>
      <c r="G23" s="30"/>
      <c r="H23" s="30"/>
      <c r="I23" s="27"/>
      <c r="J23" s="28"/>
      <c r="K23" s="28"/>
      <c r="L23" s="28"/>
      <c r="M23" s="20"/>
      <c r="N23" s="20"/>
      <c r="O23" s="21"/>
      <c r="P23" s="15">
        <f t="shared" si="0"/>
        <v>6069.96</v>
      </c>
      <c r="Q23" s="20"/>
      <c r="R23" s="28"/>
      <c r="S23" s="28"/>
      <c r="T23" s="12"/>
      <c r="U23" s="20">
        <v>527.76699999999994</v>
      </c>
      <c r="V23" s="22"/>
      <c r="W23" s="23"/>
      <c r="X23" s="23"/>
      <c r="Y23" s="23"/>
      <c r="Z23" s="23"/>
      <c r="AA23" s="17">
        <f t="shared" si="2"/>
        <v>527.76699999999994</v>
      </c>
      <c r="AB23" s="18">
        <f t="shared" si="3"/>
        <v>5542.1930000000002</v>
      </c>
      <c r="AC23" s="3"/>
    </row>
    <row r="24" spans="2:29" x14ac:dyDescent="0.25">
      <c r="B24" s="8" t="s">
        <v>90</v>
      </c>
      <c r="C24" s="25" t="s">
        <v>43</v>
      </c>
      <c r="D24" s="31"/>
      <c r="E24" s="32">
        <v>3018.5</v>
      </c>
      <c r="F24" s="30"/>
      <c r="G24" s="30"/>
      <c r="H24" s="30"/>
      <c r="I24" s="27"/>
      <c r="J24" s="28"/>
      <c r="K24" s="28"/>
      <c r="L24" s="28"/>
      <c r="M24" s="20"/>
      <c r="N24" s="20"/>
      <c r="O24" s="21"/>
      <c r="P24" s="15">
        <f t="shared" si="0"/>
        <v>3018.5</v>
      </c>
      <c r="Q24" s="20"/>
      <c r="R24" s="28"/>
      <c r="S24" s="28"/>
      <c r="T24" s="12"/>
      <c r="U24" s="20">
        <v>176.47039999999998</v>
      </c>
      <c r="V24" s="22"/>
      <c r="W24" s="23"/>
      <c r="X24" s="23"/>
      <c r="Y24" s="23"/>
      <c r="Z24" s="23"/>
      <c r="AA24" s="17">
        <f t="shared" si="2"/>
        <v>176.47039999999998</v>
      </c>
      <c r="AB24" s="18">
        <f t="shared" si="3"/>
        <v>2842.0295999999998</v>
      </c>
      <c r="AC24" s="3"/>
    </row>
    <row r="25" spans="2:29" x14ac:dyDescent="0.25">
      <c r="B25" s="8" t="s">
        <v>44</v>
      </c>
      <c r="C25" s="25" t="s">
        <v>45</v>
      </c>
      <c r="D25" s="31"/>
      <c r="E25" s="32">
        <f>24876/2</f>
        <v>12438</v>
      </c>
      <c r="F25" s="30"/>
      <c r="G25" s="30"/>
      <c r="H25" s="30"/>
      <c r="I25" s="27"/>
      <c r="J25" s="28"/>
      <c r="K25" s="28"/>
      <c r="L25" s="28"/>
      <c r="M25" s="28"/>
      <c r="N25" s="28"/>
      <c r="O25" s="29"/>
      <c r="P25" s="15">
        <f t="shared" si="0"/>
        <v>12438</v>
      </c>
      <c r="Q25" s="28"/>
      <c r="R25" s="28"/>
      <c r="S25" s="28"/>
      <c r="T25" s="32"/>
      <c r="U25" s="28">
        <v>1936</v>
      </c>
      <c r="V25" s="33"/>
      <c r="W25" s="34"/>
      <c r="X25" s="34"/>
      <c r="Y25" s="34"/>
      <c r="Z25" s="34"/>
      <c r="AA25" s="17">
        <f t="shared" ref="AA25" si="7">SUM(Q25:Z25)</f>
        <v>1936</v>
      </c>
      <c r="AB25" s="18">
        <f t="shared" si="3"/>
        <v>10502</v>
      </c>
      <c r="AC25" s="3"/>
    </row>
    <row r="26" spans="2:29" ht="15.75" thickBot="1" x14ac:dyDescent="0.3">
      <c r="B26" s="35" t="s">
        <v>46</v>
      </c>
      <c r="C26" s="36"/>
      <c r="D26" s="37"/>
      <c r="E26" s="38">
        <f>SUM(E4:E25)</f>
        <v>253031.14001578619</v>
      </c>
      <c r="F26" s="38">
        <f t="shared" ref="F26:Z26" si="8">SUM(F4:F25)</f>
        <v>17196</v>
      </c>
      <c r="G26" s="38">
        <f t="shared" si="8"/>
        <v>18096</v>
      </c>
      <c r="H26" s="38">
        <f t="shared" si="8"/>
        <v>17196</v>
      </c>
      <c r="I26" s="38">
        <f t="shared" si="8"/>
        <v>16000</v>
      </c>
      <c r="J26" s="38">
        <f t="shared" si="8"/>
        <v>2310</v>
      </c>
      <c r="K26" s="38">
        <f t="shared" si="8"/>
        <v>4929</v>
      </c>
      <c r="L26" s="38">
        <f t="shared" si="8"/>
        <v>1975</v>
      </c>
      <c r="M26" s="38">
        <f t="shared" si="8"/>
        <v>9862</v>
      </c>
      <c r="N26" s="38">
        <f t="shared" si="8"/>
        <v>2400</v>
      </c>
      <c r="O26" s="38">
        <f t="shared" si="8"/>
        <v>121588.64667719079</v>
      </c>
      <c r="P26" s="38">
        <f>SUM(P4:P25)</f>
        <v>464583.78669297707</v>
      </c>
      <c r="Q26" s="38">
        <f t="shared" si="8"/>
        <v>1030.273034805</v>
      </c>
      <c r="R26" s="38">
        <f t="shared" si="8"/>
        <v>4500</v>
      </c>
      <c r="S26" s="38">
        <f t="shared" si="8"/>
        <v>8818.8548011050352</v>
      </c>
      <c r="T26" s="38">
        <f t="shared" si="8"/>
        <v>16205.327601105038</v>
      </c>
      <c r="U26" s="38">
        <f t="shared" si="8"/>
        <v>58214.873049468952</v>
      </c>
      <c r="V26" s="38">
        <f t="shared" si="8"/>
        <v>2583</v>
      </c>
      <c r="W26" s="38">
        <f t="shared" si="8"/>
        <v>0</v>
      </c>
      <c r="X26" s="38">
        <f t="shared" si="8"/>
        <v>0</v>
      </c>
      <c r="Y26" s="38">
        <f t="shared" si="8"/>
        <v>1933.28</v>
      </c>
      <c r="Z26" s="38">
        <f t="shared" si="8"/>
        <v>1933.28</v>
      </c>
      <c r="AA26" s="38">
        <f>SUM(AA4:AA25)</f>
        <v>95218.888486484051</v>
      </c>
      <c r="AB26" s="38">
        <f>SUM(AB4:AB25)</f>
        <v>369364.89820649306</v>
      </c>
      <c r="AC26" s="19"/>
    </row>
    <row r="27" spans="2:29" x14ac:dyDescent="0.25"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</row>
    <row r="28" spans="2:29" x14ac:dyDescent="0.25">
      <c r="B28" s="42"/>
      <c r="E28" s="40"/>
    </row>
    <row r="29" spans="2:29" x14ac:dyDescent="0.25">
      <c r="B29" t="s">
        <v>87</v>
      </c>
      <c r="C29" t="s">
        <v>91</v>
      </c>
      <c r="E29" s="40"/>
    </row>
    <row r="30" spans="2:29" x14ac:dyDescent="0.25">
      <c r="B30" t="s">
        <v>88</v>
      </c>
      <c r="C30" t="s">
        <v>92</v>
      </c>
      <c r="E30" s="40"/>
    </row>
    <row r="31" spans="2:29" x14ac:dyDescent="0.25">
      <c r="B31" t="s">
        <v>89</v>
      </c>
      <c r="C31" t="s">
        <v>93</v>
      </c>
      <c r="E31" s="40"/>
    </row>
    <row r="32" spans="2:29" x14ac:dyDescent="0.25">
      <c r="B32" t="s">
        <v>90</v>
      </c>
      <c r="C32" t="s">
        <v>94</v>
      </c>
      <c r="E32" s="40"/>
      <c r="P32" s="19"/>
      <c r="AB32" s="19"/>
    </row>
    <row r="33" spans="2:28" x14ac:dyDescent="0.25">
      <c r="B33" t="s">
        <v>44</v>
      </c>
      <c r="C33" t="s">
        <v>95</v>
      </c>
      <c r="P33" s="19"/>
      <c r="AB33" s="19"/>
    </row>
    <row r="34" spans="2:28" x14ac:dyDescent="0.25">
      <c r="P34" s="19"/>
      <c r="AB34" s="19"/>
    </row>
    <row r="35" spans="2:28" x14ac:dyDescent="0.25">
      <c r="P35" s="19"/>
      <c r="AB35" s="19"/>
    </row>
    <row r="36" spans="2:28" x14ac:dyDescent="0.25">
      <c r="P36" s="19"/>
      <c r="AB36" s="19"/>
    </row>
  </sheetData>
  <pageMargins left="0.70866141732283472" right="0" top="0" bottom="0" header="0.31496062992125984" footer="0.31496062992125984"/>
  <pageSetup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3"/>
  <sheetViews>
    <sheetView topLeftCell="A16" workbookViewId="0">
      <selection activeCell="C3" sqref="C3:D3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9.28515625" bestFit="1" customWidth="1"/>
    <col min="7" max="13" width="8.7109375" customWidth="1"/>
    <col min="14" max="14" width="12.5703125" bestFit="1" customWidth="1"/>
    <col min="15" max="15" width="7.42578125" customWidth="1"/>
    <col min="16" max="17" width="8.7109375" bestFit="1" customWidth="1"/>
    <col min="18" max="18" width="9" customWidth="1"/>
    <col min="19" max="19" width="9.5703125" customWidth="1"/>
    <col min="20" max="20" width="8.5703125" customWidth="1"/>
    <col min="21" max="22" width="10.140625" customWidth="1"/>
    <col min="23" max="23" width="9.5703125" customWidth="1"/>
    <col min="24" max="24" width="12.5703125" bestFit="1" customWidth="1"/>
    <col min="25" max="25" width="14.140625" bestFit="1" customWidth="1"/>
    <col min="27" max="34" width="0" hidden="1" customWidth="1"/>
  </cols>
  <sheetData>
    <row r="1" spans="2:34" ht="18.75" x14ac:dyDescent="0.25">
      <c r="E1" s="1"/>
      <c r="F1" s="2" t="s">
        <v>105</v>
      </c>
      <c r="G1" s="2"/>
      <c r="H1" s="2"/>
      <c r="I1" s="2"/>
      <c r="J1" s="2"/>
      <c r="K1" s="2"/>
      <c r="L1" s="2"/>
      <c r="M1" s="2"/>
      <c r="N1" s="2"/>
      <c r="O1" s="2"/>
    </row>
    <row r="2" spans="2:34" ht="16.5" thickBot="1" x14ac:dyDescent="0.3">
      <c r="E2" s="1"/>
      <c r="F2" s="1"/>
      <c r="G2" s="1"/>
      <c r="H2" s="1"/>
      <c r="I2" s="1"/>
      <c r="J2" s="1"/>
      <c r="K2" s="1"/>
      <c r="L2" s="1"/>
      <c r="M2" s="1"/>
    </row>
    <row r="3" spans="2:34" ht="48.75" customHeight="1" x14ac:dyDescent="0.25">
      <c r="B3" s="47"/>
      <c r="C3" s="47" t="s">
        <v>1</v>
      </c>
      <c r="D3" s="4" t="s">
        <v>2</v>
      </c>
      <c r="E3" s="54" t="s">
        <v>3</v>
      </c>
      <c r="F3" s="55" t="s">
        <v>47</v>
      </c>
      <c r="G3" s="55" t="s">
        <v>48</v>
      </c>
      <c r="H3" s="55" t="s">
        <v>49</v>
      </c>
      <c r="I3" s="55" t="s">
        <v>50</v>
      </c>
      <c r="J3" s="55" t="s">
        <v>51</v>
      </c>
      <c r="K3" s="55" t="s">
        <v>52</v>
      </c>
      <c r="L3" s="55" t="s">
        <v>11</v>
      </c>
      <c r="M3" s="55" t="s">
        <v>53</v>
      </c>
      <c r="N3" s="48" t="s">
        <v>96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7" t="s">
        <v>22</v>
      </c>
      <c r="U3" s="49" t="s">
        <v>83</v>
      </c>
      <c r="V3" s="49" t="s">
        <v>84</v>
      </c>
      <c r="W3" s="49" t="s">
        <v>85</v>
      </c>
      <c r="X3" s="50" t="s">
        <v>86</v>
      </c>
      <c r="AA3" s="7" t="s">
        <v>106</v>
      </c>
      <c r="AB3" s="7" t="s">
        <v>107</v>
      </c>
      <c r="AC3" s="7" t="s">
        <v>7</v>
      </c>
      <c r="AD3" s="7" t="s">
        <v>4</v>
      </c>
      <c r="AE3" s="57" t="s">
        <v>108</v>
      </c>
      <c r="AF3" s="57" t="s">
        <v>109</v>
      </c>
      <c r="AG3" s="57" t="s">
        <v>110</v>
      </c>
      <c r="AH3" s="57" t="s">
        <v>111</v>
      </c>
    </row>
    <row r="4" spans="2:34" x14ac:dyDescent="0.25">
      <c r="B4" s="8" t="s">
        <v>87</v>
      </c>
      <c r="C4" s="9" t="s">
        <v>23</v>
      </c>
      <c r="D4" s="10">
        <v>17</v>
      </c>
      <c r="E4" s="11">
        <v>19286.689999999999</v>
      </c>
      <c r="F4" s="13"/>
      <c r="G4" s="12">
        <v>300</v>
      </c>
      <c r="H4" s="13"/>
      <c r="I4" s="12"/>
      <c r="J4" s="12"/>
      <c r="K4" s="12"/>
      <c r="L4" s="12"/>
      <c r="M4" s="12"/>
      <c r="N4" s="15">
        <f t="shared" ref="N4:N16" si="0">SUM(E4:M4)</f>
        <v>19586.689999999999</v>
      </c>
      <c r="O4" s="12"/>
      <c r="P4" s="12"/>
      <c r="Q4" s="12"/>
      <c r="R4" s="12">
        <f t="shared" ref="R4:R14" si="1">(E4*0.07)</f>
        <v>1350.0683000000001</v>
      </c>
      <c r="S4" s="12">
        <v>3400.1570879999995</v>
      </c>
      <c r="T4" s="17">
        <v>1826.6</v>
      </c>
      <c r="U4" s="17"/>
      <c r="V4" s="17"/>
      <c r="W4" s="17">
        <f>SUM(O4:V4)</f>
        <v>6576.8253879999993</v>
      </c>
      <c r="X4" s="18">
        <f>+N4-W4</f>
        <v>13009.864611999999</v>
      </c>
      <c r="AA4" s="19">
        <f>+F4</f>
        <v>0</v>
      </c>
      <c r="AB4" s="19" t="e">
        <f>+#REF!</f>
        <v>#REF!</v>
      </c>
      <c r="AC4" s="19" t="e">
        <f>+#REF!</f>
        <v>#REF!</v>
      </c>
      <c r="AD4" s="19"/>
      <c r="AE4" t="e">
        <f>SUM(AA4:AD4)</f>
        <v>#REF!</v>
      </c>
      <c r="AF4">
        <v>0</v>
      </c>
      <c r="AG4">
        <f>+H4</f>
        <v>0</v>
      </c>
    </row>
    <row r="5" spans="2:34" x14ac:dyDescent="0.25">
      <c r="B5" s="8" t="s">
        <v>87</v>
      </c>
      <c r="C5" s="9" t="s">
        <v>24</v>
      </c>
      <c r="D5" s="10">
        <v>14</v>
      </c>
      <c r="E5" s="11">
        <v>14917.51</v>
      </c>
      <c r="F5" s="13"/>
      <c r="G5" s="20">
        <v>300</v>
      </c>
      <c r="H5" s="13"/>
      <c r="I5" s="20"/>
      <c r="J5" s="20"/>
      <c r="K5" s="20"/>
      <c r="L5" s="20"/>
      <c r="M5" s="20"/>
      <c r="N5" s="15">
        <f t="shared" si="0"/>
        <v>15217.51</v>
      </c>
      <c r="O5" s="20"/>
      <c r="P5" s="20"/>
      <c r="Q5" s="20"/>
      <c r="R5" s="12">
        <f t="shared" si="1"/>
        <v>1044.2257000000002</v>
      </c>
      <c r="S5" s="20">
        <v>2384.42164</v>
      </c>
      <c r="T5" s="17">
        <v>1390.58</v>
      </c>
      <c r="U5" s="23"/>
      <c r="V5" s="23"/>
      <c r="W5" s="17">
        <f>SUM(O5:V5)</f>
        <v>4819.2273400000004</v>
      </c>
      <c r="X5" s="18">
        <f>+N5-W5</f>
        <v>10398.282660000001</v>
      </c>
      <c r="AA5" s="19">
        <f>+F5</f>
        <v>0</v>
      </c>
      <c r="AB5" s="19" t="e">
        <f>+#REF!</f>
        <v>#REF!</v>
      </c>
      <c r="AC5" s="19" t="e">
        <f>+#REF!</f>
        <v>#REF!</v>
      </c>
      <c r="AD5" s="19"/>
      <c r="AE5" t="e">
        <f t="shared" ref="AE5:AE15" si="2">SUM(AA5:AD5)</f>
        <v>#REF!</v>
      </c>
      <c r="AF5">
        <v>0</v>
      </c>
      <c r="AG5">
        <v>200</v>
      </c>
    </row>
    <row r="6" spans="2:34" x14ac:dyDescent="0.25">
      <c r="B6" s="8" t="s">
        <v>87</v>
      </c>
      <c r="C6" s="9" t="s">
        <v>25</v>
      </c>
      <c r="D6" s="10">
        <v>14</v>
      </c>
      <c r="E6" s="11">
        <v>14917.51</v>
      </c>
      <c r="F6" s="13"/>
      <c r="G6" s="20">
        <v>300</v>
      </c>
      <c r="H6" s="13"/>
      <c r="I6" s="20"/>
      <c r="J6" s="20"/>
      <c r="K6" s="20"/>
      <c r="L6" s="20"/>
      <c r="M6" s="20"/>
      <c r="N6" s="15">
        <f t="shared" si="0"/>
        <v>15217.51</v>
      </c>
      <c r="O6" s="20"/>
      <c r="P6" s="20"/>
      <c r="Q6" s="20"/>
      <c r="R6" s="12">
        <f t="shared" si="1"/>
        <v>1044.2257000000002</v>
      </c>
      <c r="S6" s="20">
        <v>2384.42164</v>
      </c>
      <c r="T6" s="23"/>
      <c r="U6" s="23"/>
      <c r="V6" s="23"/>
      <c r="W6" s="17">
        <f>SUM(O6:V6)</f>
        <v>3428.6473400000004</v>
      </c>
      <c r="X6" s="18">
        <f>+N6-W6</f>
        <v>11788.862659999999</v>
      </c>
      <c r="AA6" s="19">
        <f>+F6</f>
        <v>0</v>
      </c>
      <c r="AB6" s="19" t="e">
        <f>+#REF!</f>
        <v>#REF!</v>
      </c>
      <c r="AC6" s="19" t="e">
        <f>+#REF!</f>
        <v>#REF!</v>
      </c>
      <c r="AD6" s="19"/>
      <c r="AE6" t="e">
        <f t="shared" si="2"/>
        <v>#REF!</v>
      </c>
      <c r="AF6">
        <v>0</v>
      </c>
      <c r="AG6">
        <v>200</v>
      </c>
    </row>
    <row r="7" spans="2:34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43">
        <v>900</v>
      </c>
      <c r="G7" s="43">
        <v>900</v>
      </c>
      <c r="H7" s="43">
        <v>900</v>
      </c>
      <c r="I7" s="13">
        <v>1000</v>
      </c>
      <c r="J7" s="20"/>
      <c r="K7" s="20">
        <v>750</v>
      </c>
      <c r="L7" s="13"/>
      <c r="M7" s="20"/>
      <c r="N7" s="15">
        <f t="shared" si="0"/>
        <v>19472.099999999999</v>
      </c>
      <c r="O7" s="20"/>
      <c r="P7" s="20"/>
      <c r="Q7" s="20"/>
      <c r="R7" s="12">
        <f t="shared" si="1"/>
        <v>1051.547</v>
      </c>
      <c r="S7" s="20">
        <v>2779.3255199999994</v>
      </c>
      <c r="T7" s="23"/>
      <c r="U7" s="23"/>
      <c r="V7" s="23"/>
      <c r="W7" s="17">
        <f>SUM(O7:V7)</f>
        <v>3830.8725199999994</v>
      </c>
      <c r="X7" s="18">
        <f>+N7-W7</f>
        <v>15641.22748</v>
      </c>
      <c r="AA7" s="19">
        <f>+F7</f>
        <v>900</v>
      </c>
      <c r="AB7" s="19" t="e">
        <f>+#REF!</f>
        <v>#REF!</v>
      </c>
      <c r="AC7" s="19" t="e">
        <f>+#REF!</f>
        <v>#REF!</v>
      </c>
      <c r="AD7" s="19" t="e">
        <f>+#REF!</f>
        <v>#REF!</v>
      </c>
      <c r="AE7" t="e">
        <f t="shared" si="2"/>
        <v>#REF!</v>
      </c>
      <c r="AF7">
        <v>3600</v>
      </c>
    </row>
    <row r="8" spans="2:34" ht="15" customHeight="1" x14ac:dyDescent="0.25">
      <c r="B8" s="8" t="s">
        <v>89</v>
      </c>
      <c r="C8" s="9" t="s">
        <v>30</v>
      </c>
      <c r="D8" s="10">
        <v>10</v>
      </c>
      <c r="E8" s="11">
        <v>15424.35954953621</v>
      </c>
      <c r="F8" s="13">
        <v>1133</v>
      </c>
      <c r="G8" s="13">
        <v>1133</v>
      </c>
      <c r="H8" s="13">
        <v>1133</v>
      </c>
      <c r="I8" s="13">
        <v>1000</v>
      </c>
      <c r="J8" s="20"/>
      <c r="K8" s="20">
        <v>606</v>
      </c>
      <c r="L8" s="13"/>
      <c r="M8" s="20">
        <v>999</v>
      </c>
      <c r="N8" s="15">
        <f t="shared" si="0"/>
        <v>21428.35954953621</v>
      </c>
      <c r="O8" s="20"/>
      <c r="P8" s="20"/>
      <c r="Q8" s="20">
        <f t="shared" ref="Q8:Q14" si="3">(E8*0.07)</f>
        <v>1079.7051684675348</v>
      </c>
      <c r="R8" s="12">
        <f t="shared" si="1"/>
        <v>1079.7051684675348</v>
      </c>
      <c r="S8" s="20">
        <v>3029.2865660509165</v>
      </c>
      <c r="T8" s="23"/>
      <c r="U8" s="23"/>
      <c r="V8" s="23"/>
      <c r="W8" s="17">
        <f>SUM(O8:V8)</f>
        <v>5188.6969029859865</v>
      </c>
      <c r="X8" s="18">
        <f>+N8-W8</f>
        <v>16239.662646550223</v>
      </c>
      <c r="AA8" s="19">
        <f>+F8</f>
        <v>1133</v>
      </c>
      <c r="AB8" s="19" t="e">
        <f>+#REF!</f>
        <v>#REF!</v>
      </c>
      <c r="AC8" s="19" t="e">
        <f>+#REF!</f>
        <v>#REF!</v>
      </c>
      <c r="AD8" s="19" t="e">
        <f>+#REF!</f>
        <v>#REF!</v>
      </c>
      <c r="AE8" s="19" t="e">
        <f>SUM(AA8:AD8)</f>
        <v>#REF!</v>
      </c>
      <c r="AF8" s="19">
        <v>4440</v>
      </c>
      <c r="AG8" t="e">
        <f t="shared" ref="AG8:AG14" si="4">+AE8-AF8</f>
        <v>#REF!</v>
      </c>
      <c r="AH8" s="19" t="e">
        <f t="shared" ref="AH8:AH14" si="5">+AD8-AG8</f>
        <v>#REF!</v>
      </c>
    </row>
    <row r="9" spans="2:34" ht="15" customHeight="1" x14ac:dyDescent="0.25">
      <c r="B9" s="8" t="s">
        <v>89</v>
      </c>
      <c r="C9" s="9" t="s">
        <v>31</v>
      </c>
      <c r="D9" s="10">
        <v>8</v>
      </c>
      <c r="E9" s="11">
        <v>13360.854858749999</v>
      </c>
      <c r="F9" s="13">
        <v>1133</v>
      </c>
      <c r="G9" s="13">
        <v>1133</v>
      </c>
      <c r="H9" s="13">
        <v>1133</v>
      </c>
      <c r="I9" s="13">
        <v>1000</v>
      </c>
      <c r="J9" s="12"/>
      <c r="K9" s="20">
        <v>525</v>
      </c>
      <c r="L9" s="13">
        <v>325</v>
      </c>
      <c r="M9" s="13">
        <v>925</v>
      </c>
      <c r="N9" s="15">
        <f t="shared" si="0"/>
        <v>19534.854858749997</v>
      </c>
      <c r="O9" s="20">
        <f>(E9*0.01)</f>
        <v>133.6085485875</v>
      </c>
      <c r="P9" s="20">
        <f>1000</f>
        <v>1000</v>
      </c>
      <c r="Q9" s="20">
        <f t="shared" si="3"/>
        <v>935.2598401125</v>
      </c>
      <c r="R9" s="12">
        <f t="shared" si="1"/>
        <v>935.2598401125</v>
      </c>
      <c r="S9" s="20">
        <v>2602.1622627779998</v>
      </c>
      <c r="T9" s="17">
        <v>4166.67</v>
      </c>
      <c r="U9" s="23">
        <f>966.64</f>
        <v>966.64</v>
      </c>
      <c r="V9" s="23"/>
      <c r="W9" s="17">
        <f>SUM(O9:V9)</f>
        <v>10739.6004915905</v>
      </c>
      <c r="X9" s="18">
        <f>+N9-W9</f>
        <v>8795.2543671594976</v>
      </c>
      <c r="AA9" s="19">
        <f>+F9</f>
        <v>1133</v>
      </c>
      <c r="AB9" s="19" t="e">
        <f>+#REF!</f>
        <v>#REF!</v>
      </c>
      <c r="AC9" s="19" t="e">
        <f>+#REF!</f>
        <v>#REF!</v>
      </c>
      <c r="AD9" s="19" t="e">
        <f>+#REF!</f>
        <v>#REF!</v>
      </c>
      <c r="AE9" t="e">
        <f t="shared" si="2"/>
        <v>#REF!</v>
      </c>
      <c r="AF9">
        <v>4440</v>
      </c>
      <c r="AG9" t="e">
        <f t="shared" si="4"/>
        <v>#REF!</v>
      </c>
      <c r="AH9" s="19" t="e">
        <f t="shared" si="5"/>
        <v>#REF!</v>
      </c>
    </row>
    <row r="10" spans="2:34" x14ac:dyDescent="0.25">
      <c r="B10" s="8" t="s">
        <v>89</v>
      </c>
      <c r="C10" s="25" t="s">
        <v>33</v>
      </c>
      <c r="D10" s="26">
        <v>7</v>
      </c>
      <c r="E10" s="11">
        <v>12482.481170250001</v>
      </c>
      <c r="F10" s="13">
        <v>1133</v>
      </c>
      <c r="G10" s="13">
        <v>1133</v>
      </c>
      <c r="H10" s="13">
        <v>1133</v>
      </c>
      <c r="I10" s="13">
        <v>1000</v>
      </c>
      <c r="J10" s="12">
        <v>295</v>
      </c>
      <c r="K10" s="20">
        <v>491</v>
      </c>
      <c r="L10" s="20"/>
      <c r="M10" s="20">
        <v>893</v>
      </c>
      <c r="N10" s="15">
        <f t="shared" si="0"/>
        <v>18560.481170250001</v>
      </c>
      <c r="O10" s="20">
        <f>(E10*0.01)</f>
        <v>124.82481170250001</v>
      </c>
      <c r="P10" s="20"/>
      <c r="Q10" s="20">
        <f t="shared" si="3"/>
        <v>873.7736819175002</v>
      </c>
      <c r="R10" s="12">
        <f t="shared" si="1"/>
        <v>873.7736819175002</v>
      </c>
      <c r="S10" s="20">
        <v>2360.3854819654002</v>
      </c>
      <c r="T10" s="22">
        <v>3895.6</v>
      </c>
      <c r="U10" s="22"/>
      <c r="V10" s="22"/>
      <c r="W10" s="17">
        <f>SUM(O10:V10)</f>
        <v>8128.3576575029001</v>
      </c>
      <c r="X10" s="18">
        <f>+N10-W10</f>
        <v>10432.123512747101</v>
      </c>
      <c r="AA10" s="19">
        <f>+F10</f>
        <v>1133</v>
      </c>
      <c r="AB10" s="19" t="e">
        <f>+#REF!</f>
        <v>#REF!</v>
      </c>
      <c r="AC10" s="19" t="e">
        <f>+#REF!</f>
        <v>#REF!</v>
      </c>
      <c r="AD10" s="19" t="e">
        <f>+#REF!</f>
        <v>#REF!</v>
      </c>
      <c r="AE10" t="e">
        <f t="shared" si="2"/>
        <v>#REF!</v>
      </c>
      <c r="AF10">
        <v>4440</v>
      </c>
      <c r="AG10" t="e">
        <f t="shared" si="4"/>
        <v>#REF!</v>
      </c>
      <c r="AH10" s="19" t="e">
        <f t="shared" si="5"/>
        <v>#REF!</v>
      </c>
    </row>
    <row r="11" spans="2:34" x14ac:dyDescent="0.25">
      <c r="B11" s="8" t="s">
        <v>89</v>
      </c>
      <c r="C11" s="9" t="s">
        <v>36</v>
      </c>
      <c r="D11" s="10">
        <v>4</v>
      </c>
      <c r="E11" s="11">
        <v>9610.9981694999988</v>
      </c>
      <c r="F11" s="13">
        <v>1133</v>
      </c>
      <c r="G11" s="13">
        <v>1133</v>
      </c>
      <c r="H11" s="13">
        <v>1133</v>
      </c>
      <c r="I11" s="13">
        <v>1000</v>
      </c>
      <c r="J11" s="13">
        <v>230</v>
      </c>
      <c r="K11" s="20"/>
      <c r="L11" s="13">
        <v>150</v>
      </c>
      <c r="M11" s="20">
        <v>790</v>
      </c>
      <c r="N11" s="15">
        <f t="shared" si="0"/>
        <v>15179.998169499999</v>
      </c>
      <c r="O11" s="20">
        <f>(E11*0.01)</f>
        <v>96.109981694999988</v>
      </c>
      <c r="P11" s="20"/>
      <c r="Q11" s="20">
        <f t="shared" si="3"/>
        <v>672.76987186500003</v>
      </c>
      <c r="R11" s="12">
        <f t="shared" si="1"/>
        <v>672.76987186500003</v>
      </c>
      <c r="S11" s="20">
        <v>1708.6955130051999</v>
      </c>
      <c r="T11" s="23"/>
      <c r="U11" s="23"/>
      <c r="V11" s="23"/>
      <c r="W11" s="17">
        <f>SUM(O11:V11)</f>
        <v>3150.3452384302</v>
      </c>
      <c r="X11" s="18">
        <f>+N11-W11</f>
        <v>12029.652931069799</v>
      </c>
      <c r="AA11" s="19">
        <f>+F11</f>
        <v>1133</v>
      </c>
      <c r="AB11" s="19" t="e">
        <f>+#REF!</f>
        <v>#REF!</v>
      </c>
      <c r="AC11" s="19" t="e">
        <f>+#REF!</f>
        <v>#REF!</v>
      </c>
      <c r="AD11" s="19" t="e">
        <f>+#REF!</f>
        <v>#REF!</v>
      </c>
      <c r="AE11" t="e">
        <f t="shared" si="2"/>
        <v>#REF!</v>
      </c>
      <c r="AF11">
        <v>4440</v>
      </c>
      <c r="AG11" t="e">
        <f t="shared" si="4"/>
        <v>#REF!</v>
      </c>
      <c r="AH11" s="19" t="e">
        <f t="shared" si="5"/>
        <v>#REF!</v>
      </c>
    </row>
    <row r="12" spans="2:34" x14ac:dyDescent="0.25">
      <c r="B12" s="8" t="s">
        <v>89</v>
      </c>
      <c r="C12" s="9" t="s">
        <v>37</v>
      </c>
      <c r="D12" s="10">
        <v>4</v>
      </c>
      <c r="E12" s="11">
        <v>9610.9981694999988</v>
      </c>
      <c r="F12" s="13">
        <v>1133</v>
      </c>
      <c r="G12" s="13">
        <v>1133</v>
      </c>
      <c r="H12" s="13">
        <v>1133</v>
      </c>
      <c r="I12" s="13">
        <v>1000</v>
      </c>
      <c r="J12" s="13">
        <v>230</v>
      </c>
      <c r="K12" s="20"/>
      <c r="L12" s="13">
        <v>150</v>
      </c>
      <c r="M12" s="20">
        <v>790</v>
      </c>
      <c r="N12" s="15">
        <f t="shared" si="0"/>
        <v>15179.998169499999</v>
      </c>
      <c r="O12" s="20">
        <f>(E12*0.01)</f>
        <v>96.109981694999988</v>
      </c>
      <c r="P12" s="20">
        <f>500</f>
        <v>500</v>
      </c>
      <c r="Q12" s="20">
        <f t="shared" si="3"/>
        <v>672.76987186500003</v>
      </c>
      <c r="R12" s="12">
        <f t="shared" si="1"/>
        <v>672.76987186500003</v>
      </c>
      <c r="S12" s="20">
        <v>1708.6955130051999</v>
      </c>
      <c r="T12" s="23"/>
      <c r="U12" s="23"/>
      <c r="V12" s="23"/>
      <c r="W12" s="17">
        <f>SUM(O12:V12)</f>
        <v>3650.3452384302</v>
      </c>
      <c r="X12" s="18">
        <f>+N12-W12</f>
        <v>11529.652931069799</v>
      </c>
      <c r="AA12" s="19">
        <f>+F12</f>
        <v>1133</v>
      </c>
      <c r="AB12" s="19" t="e">
        <f>+#REF!</f>
        <v>#REF!</v>
      </c>
      <c r="AC12" s="19" t="e">
        <f>+#REF!</f>
        <v>#REF!</v>
      </c>
      <c r="AD12" s="19" t="e">
        <f>+#REF!</f>
        <v>#REF!</v>
      </c>
      <c r="AE12" t="e">
        <f t="shared" si="2"/>
        <v>#REF!</v>
      </c>
      <c r="AF12">
        <v>4440</v>
      </c>
      <c r="AG12" t="e">
        <f t="shared" si="4"/>
        <v>#REF!</v>
      </c>
      <c r="AH12" s="19" t="e">
        <f t="shared" si="5"/>
        <v>#REF!</v>
      </c>
    </row>
    <row r="13" spans="2:34" x14ac:dyDescent="0.25">
      <c r="B13" s="8" t="s">
        <v>89</v>
      </c>
      <c r="C13" s="9" t="s">
        <v>39</v>
      </c>
      <c r="D13" s="10">
        <v>2</v>
      </c>
      <c r="E13" s="11">
        <v>8024.8779607499991</v>
      </c>
      <c r="F13" s="13">
        <v>1133</v>
      </c>
      <c r="G13" s="13">
        <v>1133</v>
      </c>
      <c r="H13" s="13">
        <v>1133</v>
      </c>
      <c r="I13" s="13">
        <v>1000</v>
      </c>
      <c r="J13" s="13">
        <v>190</v>
      </c>
      <c r="K13" s="20"/>
      <c r="L13" s="13">
        <v>150</v>
      </c>
      <c r="M13" s="20">
        <v>733</v>
      </c>
      <c r="N13" s="15">
        <f t="shared" si="0"/>
        <v>13496.87796075</v>
      </c>
      <c r="O13" s="20">
        <f>(E13*0.01)</f>
        <v>80.248779607499998</v>
      </c>
      <c r="P13" s="20">
        <f>500</f>
        <v>500</v>
      </c>
      <c r="Q13" s="20">
        <f t="shared" si="3"/>
        <v>561.74145725250003</v>
      </c>
      <c r="R13" s="12">
        <f t="shared" si="1"/>
        <v>561.74145725250003</v>
      </c>
      <c r="S13" s="20">
        <v>1359.5406364162002</v>
      </c>
      <c r="T13" s="23"/>
      <c r="U13" s="23">
        <f>966.64</f>
        <v>966.64</v>
      </c>
      <c r="V13" s="23">
        <f>1933.28</f>
        <v>1933.28</v>
      </c>
      <c r="W13" s="17">
        <f>SUM(O13:V13)</f>
        <v>5963.1923305287</v>
      </c>
      <c r="X13" s="18">
        <f>+N13-W13</f>
        <v>7533.6856302213</v>
      </c>
      <c r="AA13" s="19">
        <f>+F13</f>
        <v>1133</v>
      </c>
      <c r="AB13" s="19" t="e">
        <f>+#REF!</f>
        <v>#REF!</v>
      </c>
      <c r="AC13" s="19" t="e">
        <f>+#REF!</f>
        <v>#REF!</v>
      </c>
      <c r="AD13" s="19" t="e">
        <f>+#REF!</f>
        <v>#REF!</v>
      </c>
      <c r="AE13" t="e">
        <f t="shared" si="2"/>
        <v>#REF!</v>
      </c>
      <c r="AF13">
        <v>4440</v>
      </c>
      <c r="AG13" t="e">
        <f t="shared" si="4"/>
        <v>#REF!</v>
      </c>
      <c r="AH13" s="19" t="e">
        <f t="shared" si="5"/>
        <v>#REF!</v>
      </c>
    </row>
    <row r="14" spans="2:34" ht="22.5" x14ac:dyDescent="0.25">
      <c r="B14" s="8" t="s">
        <v>89</v>
      </c>
      <c r="C14" s="9" t="s">
        <v>41</v>
      </c>
      <c r="D14" s="10">
        <v>1</v>
      </c>
      <c r="E14" s="11">
        <v>7531.9769857499987</v>
      </c>
      <c r="F14" s="13">
        <v>1133</v>
      </c>
      <c r="G14" s="13">
        <v>1133</v>
      </c>
      <c r="H14" s="13">
        <v>1133</v>
      </c>
      <c r="I14" s="13">
        <v>1000</v>
      </c>
      <c r="J14" s="13">
        <v>180</v>
      </c>
      <c r="K14" s="20"/>
      <c r="L14" s="13">
        <v>150</v>
      </c>
      <c r="M14" s="20">
        <v>715</v>
      </c>
      <c r="N14" s="15">
        <f t="shared" si="0"/>
        <v>12975.97698575</v>
      </c>
      <c r="O14" s="20"/>
      <c r="P14" s="20"/>
      <c r="Q14" s="20">
        <f t="shared" si="3"/>
        <v>527.23838900249996</v>
      </c>
      <c r="R14" s="12">
        <f t="shared" si="1"/>
        <v>527.23838900249996</v>
      </c>
      <c r="S14" s="20">
        <v>1251.2665881562</v>
      </c>
      <c r="T14" s="23">
        <v>2735.66</v>
      </c>
      <c r="U14" s="23"/>
      <c r="V14" s="23"/>
      <c r="W14" s="17">
        <f>SUM(O14:V14)</f>
        <v>5041.4033661611993</v>
      </c>
      <c r="X14" s="18">
        <f>+N14-W14</f>
        <v>7934.5736195888003</v>
      </c>
      <c r="AA14" s="19">
        <f>+F14</f>
        <v>1133</v>
      </c>
      <c r="AB14" s="19" t="e">
        <f>+#REF!</f>
        <v>#REF!</v>
      </c>
      <c r="AC14" s="19" t="e">
        <f>+#REF!</f>
        <v>#REF!</v>
      </c>
      <c r="AD14" s="19" t="e">
        <f>+#REF!</f>
        <v>#REF!</v>
      </c>
      <c r="AE14" t="e">
        <f t="shared" si="2"/>
        <v>#REF!</v>
      </c>
      <c r="AF14">
        <v>4440</v>
      </c>
      <c r="AG14" t="e">
        <f t="shared" si="4"/>
        <v>#REF!</v>
      </c>
      <c r="AH14" s="19" t="e">
        <f t="shared" si="5"/>
        <v>#REF!</v>
      </c>
    </row>
    <row r="15" spans="2:34" ht="22.5" x14ac:dyDescent="0.25">
      <c r="B15" s="8" t="s">
        <v>90</v>
      </c>
      <c r="C15" s="9" t="s">
        <v>42</v>
      </c>
      <c r="D15" s="10"/>
      <c r="E15" s="11">
        <v>6069.96</v>
      </c>
      <c r="F15" s="30"/>
      <c r="G15" s="30"/>
      <c r="H15" s="30"/>
      <c r="I15" s="27"/>
      <c r="J15" s="28"/>
      <c r="K15" s="28"/>
      <c r="L15" s="28"/>
      <c r="M15" s="20"/>
      <c r="N15" s="15">
        <f t="shared" si="0"/>
        <v>6069.96</v>
      </c>
      <c r="O15" s="20"/>
      <c r="P15" s="28"/>
      <c r="Q15" s="28"/>
      <c r="R15" s="12"/>
      <c r="S15" s="20">
        <v>527.76699999999994</v>
      </c>
      <c r="T15" s="23"/>
      <c r="U15" s="23"/>
      <c r="V15" s="23"/>
      <c r="W15" s="17">
        <f>SUM(O15:V15)</f>
        <v>527.76699999999994</v>
      </c>
      <c r="X15" s="18">
        <f>+N15-W15</f>
        <v>5542.1930000000002</v>
      </c>
      <c r="AA15" s="19">
        <f>+F15</f>
        <v>0</v>
      </c>
      <c r="AB15" s="19" t="e">
        <f>+#REF!</f>
        <v>#REF!</v>
      </c>
      <c r="AC15" s="19" t="e">
        <f>+#REF!</f>
        <v>#REF!</v>
      </c>
      <c r="AD15" s="19" t="e">
        <f>+#REF!</f>
        <v>#REF!</v>
      </c>
      <c r="AE15" t="e">
        <f t="shared" si="2"/>
        <v>#REF!</v>
      </c>
      <c r="AF15" s="56"/>
    </row>
    <row r="16" spans="2:34" x14ac:dyDescent="0.25">
      <c r="B16" s="8" t="s">
        <v>44</v>
      </c>
      <c r="C16" s="25" t="s">
        <v>45</v>
      </c>
      <c r="D16" s="31"/>
      <c r="E16" s="32">
        <f>24876/2</f>
        <v>12438</v>
      </c>
      <c r="F16" s="30"/>
      <c r="G16" s="30"/>
      <c r="H16" s="30"/>
      <c r="I16" s="27"/>
      <c r="J16" s="28"/>
      <c r="K16" s="28"/>
      <c r="L16" s="28"/>
      <c r="M16" s="28"/>
      <c r="N16" s="15">
        <f t="shared" si="0"/>
        <v>12438</v>
      </c>
      <c r="O16" s="28"/>
      <c r="P16" s="28"/>
      <c r="Q16" s="28"/>
      <c r="R16" s="32"/>
      <c r="S16" s="28">
        <v>1936</v>
      </c>
      <c r="T16" s="34"/>
      <c r="U16" s="34"/>
      <c r="V16" s="34"/>
      <c r="W16" s="17">
        <f>SUM(O16:V16)</f>
        <v>1936</v>
      </c>
      <c r="X16" s="18">
        <f>+N16-W16</f>
        <v>10502</v>
      </c>
      <c r="AA16" s="19"/>
      <c r="AB16" s="19"/>
      <c r="AC16" s="19"/>
      <c r="AD16" s="19"/>
      <c r="AF16" s="56"/>
    </row>
    <row r="17" spans="2:34" ht="15.75" thickBot="1" x14ac:dyDescent="0.3">
      <c r="B17" s="35" t="s">
        <v>46</v>
      </c>
      <c r="C17" s="36"/>
      <c r="D17" s="37"/>
      <c r="E17" s="38">
        <f>SUM(E4:E16)</f>
        <v>158698.3168640362</v>
      </c>
      <c r="F17" s="38">
        <f t="shared" ref="F17:X17" si="6">SUM(F4:F16)</f>
        <v>8831</v>
      </c>
      <c r="G17" s="38">
        <f t="shared" si="6"/>
        <v>9731</v>
      </c>
      <c r="H17" s="38">
        <f t="shared" si="6"/>
        <v>8831</v>
      </c>
      <c r="I17" s="38">
        <f t="shared" si="6"/>
        <v>8000</v>
      </c>
      <c r="J17" s="38">
        <f t="shared" si="6"/>
        <v>1125</v>
      </c>
      <c r="K17" s="38">
        <f t="shared" si="6"/>
        <v>2372</v>
      </c>
      <c r="L17" s="38">
        <f t="shared" si="6"/>
        <v>925</v>
      </c>
      <c r="M17" s="38">
        <f t="shared" si="6"/>
        <v>5845</v>
      </c>
      <c r="N17" s="38">
        <f>SUM(N4:N16)</f>
        <v>204358.31686403617</v>
      </c>
      <c r="O17" s="38">
        <f t="shared" si="6"/>
        <v>530.90210328749993</v>
      </c>
      <c r="P17" s="38">
        <f t="shared" si="6"/>
        <v>2000</v>
      </c>
      <c r="Q17" s="38">
        <f t="shared" si="6"/>
        <v>5323.2582804825361</v>
      </c>
      <c r="R17" s="38">
        <f t="shared" si="6"/>
        <v>9813.3249804825355</v>
      </c>
      <c r="S17" s="38">
        <f t="shared" si="6"/>
        <v>27432.125449377116</v>
      </c>
      <c r="T17" s="38">
        <f t="shared" si="6"/>
        <v>14015.11</v>
      </c>
      <c r="U17" s="38">
        <f t="shared" si="6"/>
        <v>1933.28</v>
      </c>
      <c r="V17" s="38">
        <f t="shared" si="6"/>
        <v>1933.28</v>
      </c>
      <c r="W17" s="38">
        <f t="shared" si="6"/>
        <v>62981.280813629681</v>
      </c>
      <c r="X17" s="38">
        <f t="shared" si="6"/>
        <v>141377.03605040652</v>
      </c>
      <c r="Y17" s="19"/>
      <c r="AA17" s="58">
        <f t="shared" ref="AA17:AH17" si="7">SUM(AA4:AA15)</f>
        <v>8831</v>
      </c>
      <c r="AB17" s="58" t="e">
        <f t="shared" si="7"/>
        <v>#REF!</v>
      </c>
      <c r="AC17" s="58" t="e">
        <f t="shared" si="7"/>
        <v>#REF!</v>
      </c>
      <c r="AD17" s="58" t="e">
        <f t="shared" si="7"/>
        <v>#REF!</v>
      </c>
      <c r="AE17" s="58" t="e">
        <f t="shared" si="7"/>
        <v>#REF!</v>
      </c>
      <c r="AF17" s="58">
        <f t="shared" si="7"/>
        <v>34680</v>
      </c>
      <c r="AG17" s="58" t="e">
        <f t="shared" si="7"/>
        <v>#REF!</v>
      </c>
      <c r="AH17" s="58" t="e">
        <f t="shared" si="7"/>
        <v>#REF!</v>
      </c>
    </row>
    <row r="18" spans="2:34" x14ac:dyDescent="0.25"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29" spans="2:34" x14ac:dyDescent="0.25">
      <c r="B29" t="s">
        <v>87</v>
      </c>
      <c r="C29" t="s">
        <v>91</v>
      </c>
    </row>
    <row r="30" spans="2:34" x14ac:dyDescent="0.25">
      <c r="B30" t="s">
        <v>88</v>
      </c>
      <c r="C30" t="s">
        <v>92</v>
      </c>
    </row>
    <row r="31" spans="2:34" x14ac:dyDescent="0.25">
      <c r="B31" t="s">
        <v>89</v>
      </c>
      <c r="C31" t="s">
        <v>93</v>
      </c>
    </row>
    <row r="32" spans="2:34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3"/>
  <sheetViews>
    <sheetView topLeftCell="A16" workbookViewId="0">
      <selection activeCell="B29" sqref="B29:C33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10.140625" customWidth="1"/>
    <col min="7" max="7" width="8.85546875" customWidth="1"/>
    <col min="8" max="8" width="9.7109375" customWidth="1"/>
    <col min="9" max="9" width="9" customWidth="1"/>
    <col min="10" max="11" width="8.85546875" customWidth="1"/>
    <col min="12" max="16" width="8.7109375" customWidth="1"/>
    <col min="17" max="17" width="12.5703125" bestFit="1" customWidth="1"/>
    <col min="18" max="18" width="7.42578125" customWidth="1"/>
    <col min="19" max="20" width="8.7109375" bestFit="1" customWidth="1"/>
    <col min="21" max="21" width="9" customWidth="1"/>
    <col min="22" max="22" width="9.5703125" customWidth="1"/>
    <col min="23" max="23" width="7.85546875" hidden="1" customWidth="1"/>
    <col min="24" max="24" width="8.5703125" hidden="1" customWidth="1"/>
    <col min="25" max="25" width="8.5703125" customWidth="1"/>
    <col min="26" max="27" width="10.140625" customWidth="1"/>
    <col min="28" max="28" width="9.5703125" customWidth="1"/>
    <col min="29" max="29" width="12.5703125" bestFit="1" customWidth="1"/>
    <col min="30" max="30" width="14.140625" bestFit="1" customWidth="1"/>
  </cols>
  <sheetData>
    <row r="1" spans="2:29" ht="18.75" x14ac:dyDescent="0.25">
      <c r="E1" s="1"/>
      <c r="F1" s="2" t="s">
        <v>112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29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29" ht="48.75" customHeight="1" x14ac:dyDescent="0.25">
      <c r="B3" s="47"/>
      <c r="C3" s="47" t="s">
        <v>1</v>
      </c>
      <c r="D3" s="4" t="s">
        <v>2</v>
      </c>
      <c r="E3" s="54" t="s">
        <v>3</v>
      </c>
      <c r="F3" s="55" t="s">
        <v>4</v>
      </c>
      <c r="G3" s="55" t="s">
        <v>5</v>
      </c>
      <c r="H3" s="55" t="s">
        <v>7</v>
      </c>
      <c r="I3" s="55" t="s">
        <v>8</v>
      </c>
      <c r="J3" s="55" t="s">
        <v>9</v>
      </c>
      <c r="K3" s="55" t="s">
        <v>10</v>
      </c>
      <c r="L3" s="55" t="s">
        <v>11</v>
      </c>
      <c r="M3" s="55" t="s">
        <v>12</v>
      </c>
      <c r="N3" s="55" t="s">
        <v>13</v>
      </c>
      <c r="O3" s="61" t="s">
        <v>65</v>
      </c>
      <c r="P3" s="61" t="s">
        <v>101</v>
      </c>
      <c r="Q3" s="48" t="s">
        <v>96</v>
      </c>
      <c r="R3" s="5" t="s">
        <v>15</v>
      </c>
      <c r="S3" s="5" t="s">
        <v>16</v>
      </c>
      <c r="T3" s="5" t="s">
        <v>17</v>
      </c>
      <c r="U3" s="5" t="s">
        <v>18</v>
      </c>
      <c r="V3" s="5" t="s">
        <v>19</v>
      </c>
      <c r="W3" s="6" t="s">
        <v>20</v>
      </c>
      <c r="X3" s="6" t="s">
        <v>21</v>
      </c>
      <c r="Y3" s="7" t="s">
        <v>22</v>
      </c>
      <c r="Z3" s="49" t="s">
        <v>83</v>
      </c>
      <c r="AA3" s="49" t="s">
        <v>84</v>
      </c>
      <c r="AB3" s="49" t="s">
        <v>85</v>
      </c>
      <c r="AC3" s="50" t="s">
        <v>86</v>
      </c>
    </row>
    <row r="4" spans="2:29" x14ac:dyDescent="0.25">
      <c r="B4" s="8" t="s">
        <v>87</v>
      </c>
      <c r="C4" s="9" t="s">
        <v>113</v>
      </c>
      <c r="D4" s="10">
        <v>17</v>
      </c>
      <c r="E4" s="11">
        <v>19286.689999999999</v>
      </c>
      <c r="F4" s="13">
        <v>200</v>
      </c>
      <c r="G4" s="12"/>
      <c r="H4" s="13"/>
      <c r="I4" s="12"/>
      <c r="J4" s="12"/>
      <c r="K4" s="12"/>
      <c r="L4" s="12"/>
      <c r="M4" s="12"/>
      <c r="N4" s="14"/>
      <c r="O4" s="14"/>
      <c r="P4" s="14"/>
      <c r="Q4" s="15">
        <f t="shared" ref="Q4:Q16" si="0">SUM(E4:P4)</f>
        <v>19486.689999999999</v>
      </c>
      <c r="R4" s="12"/>
      <c r="S4" s="12"/>
      <c r="T4" s="12"/>
      <c r="U4" s="12">
        <f t="shared" ref="U4:U14" si="1">(E4*0.07)</f>
        <v>1350.0683000000001</v>
      </c>
      <c r="V4" s="12">
        <v>3388.3970879999997</v>
      </c>
      <c r="W4" s="16"/>
      <c r="X4" s="17"/>
      <c r="Y4" s="17"/>
      <c r="Z4" s="17"/>
      <c r="AA4" s="17"/>
      <c r="AB4" s="17">
        <f t="shared" ref="AB4:AB16" si="2">SUM(R4:AA4)</f>
        <v>4738.4653879999996</v>
      </c>
      <c r="AC4" s="18">
        <f t="shared" ref="AC4:AC16" si="3">+Q4-AB4</f>
        <v>14748.224611999998</v>
      </c>
    </row>
    <row r="5" spans="2:29" x14ac:dyDescent="0.25">
      <c r="B5" s="8" t="s">
        <v>87</v>
      </c>
      <c r="C5" s="9" t="s">
        <v>24</v>
      </c>
      <c r="D5" s="10">
        <v>14</v>
      </c>
      <c r="E5" s="11">
        <v>14917.51</v>
      </c>
      <c r="F5" s="13">
        <v>200</v>
      </c>
      <c r="G5" s="20"/>
      <c r="H5" s="13"/>
      <c r="I5" s="20"/>
      <c r="J5" s="20"/>
      <c r="K5" s="20"/>
      <c r="L5" s="20"/>
      <c r="M5" s="20"/>
      <c r="N5" s="21"/>
      <c r="O5" s="21"/>
      <c r="P5" s="21"/>
      <c r="Q5" s="15">
        <f t="shared" si="0"/>
        <v>15117.51</v>
      </c>
      <c r="R5" s="20"/>
      <c r="S5" s="20"/>
      <c r="T5" s="20"/>
      <c r="U5" s="12">
        <f t="shared" si="1"/>
        <v>1044.2257000000002</v>
      </c>
      <c r="V5" s="20">
        <v>2373.7416400000002</v>
      </c>
      <c r="W5" s="22"/>
      <c r="X5" s="23"/>
      <c r="Y5" s="17">
        <v>1390.58</v>
      </c>
      <c r="Z5" s="23"/>
      <c r="AA5" s="23"/>
      <c r="AB5" s="17">
        <f t="shared" si="2"/>
        <v>4808.5473400000001</v>
      </c>
      <c r="AC5" s="18">
        <f t="shared" si="3"/>
        <v>10308.962660000001</v>
      </c>
    </row>
    <row r="6" spans="2:29" x14ac:dyDescent="0.25">
      <c r="B6" s="8" t="s">
        <v>87</v>
      </c>
      <c r="C6" s="9" t="s">
        <v>25</v>
      </c>
      <c r="D6" s="10">
        <v>14</v>
      </c>
      <c r="E6" s="11">
        <v>14917.51</v>
      </c>
      <c r="F6" s="13">
        <v>200</v>
      </c>
      <c r="G6" s="20"/>
      <c r="H6" s="13"/>
      <c r="I6" s="20"/>
      <c r="J6" s="20"/>
      <c r="K6" s="20"/>
      <c r="L6" s="20"/>
      <c r="M6" s="20"/>
      <c r="N6" s="21"/>
      <c r="O6" s="21"/>
      <c r="P6" s="21"/>
      <c r="Q6" s="15">
        <f t="shared" si="0"/>
        <v>15117.51</v>
      </c>
      <c r="R6" s="20"/>
      <c r="S6" s="20"/>
      <c r="T6" s="20"/>
      <c r="U6" s="12">
        <f t="shared" si="1"/>
        <v>1044.2257000000002</v>
      </c>
      <c r="V6" s="20">
        <v>2373.7416400000002</v>
      </c>
      <c r="W6" s="22"/>
      <c r="X6" s="23"/>
      <c r="Y6" s="23"/>
      <c r="Z6" s="23"/>
      <c r="AA6" s="23"/>
      <c r="AB6" s="17">
        <f t="shared" si="2"/>
        <v>3417.9673400000001</v>
      </c>
      <c r="AC6" s="18">
        <f t="shared" si="3"/>
        <v>11699.542659999999</v>
      </c>
    </row>
    <row r="7" spans="2:29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13">
        <v>900</v>
      </c>
      <c r="G7" s="13">
        <v>900</v>
      </c>
      <c r="H7" s="13">
        <v>900</v>
      </c>
      <c r="I7" s="13">
        <v>3000</v>
      </c>
      <c r="J7" s="20">
        <v>3341.8</v>
      </c>
      <c r="K7" s="20">
        <v>733</v>
      </c>
      <c r="L7" s="13"/>
      <c r="M7" s="20"/>
      <c r="N7" s="21">
        <f t="shared" ref="N7:N14" si="4">(E7/15)*2</f>
        <v>2002.9466666666667</v>
      </c>
      <c r="O7" s="21">
        <f t="shared" ref="O7:O14" si="5">(E7/15)*4</f>
        <v>4005.8933333333334</v>
      </c>
      <c r="P7" s="21">
        <f t="shared" ref="P7:P14" si="6">(E7/15)*4</f>
        <v>4005.8933333333334</v>
      </c>
      <c r="Q7" s="15">
        <f t="shared" si="0"/>
        <v>34811.633333333331</v>
      </c>
      <c r="R7" s="20"/>
      <c r="S7" s="20"/>
      <c r="T7" s="20"/>
      <c r="U7" s="12">
        <f t="shared" si="1"/>
        <v>1051.547</v>
      </c>
      <c r="V7" s="20">
        <v>4371.5746400000007</v>
      </c>
      <c r="W7" s="22"/>
      <c r="X7" s="23"/>
      <c r="Y7" s="23"/>
      <c r="Z7" s="23"/>
      <c r="AA7" s="23"/>
      <c r="AB7" s="17">
        <f t="shared" si="2"/>
        <v>5423.1216400000012</v>
      </c>
      <c r="AC7" s="18">
        <f t="shared" si="3"/>
        <v>29388.51169333333</v>
      </c>
    </row>
    <row r="8" spans="2:29" ht="15" customHeight="1" x14ac:dyDescent="0.25">
      <c r="B8" s="8" t="s">
        <v>89</v>
      </c>
      <c r="C8" s="9" t="s">
        <v>30</v>
      </c>
      <c r="D8" s="10">
        <v>10</v>
      </c>
      <c r="E8" s="11">
        <v>15424.35954953621</v>
      </c>
      <c r="F8" s="13">
        <v>1100</v>
      </c>
      <c r="G8" s="13">
        <v>1133</v>
      </c>
      <c r="H8" s="13">
        <v>1140</v>
      </c>
      <c r="I8" s="13">
        <v>1150</v>
      </c>
      <c r="J8" s="20">
        <v>1934.8</v>
      </c>
      <c r="K8" s="20">
        <v>787</v>
      </c>
      <c r="L8" s="13"/>
      <c r="M8" s="20">
        <v>945</v>
      </c>
      <c r="N8" s="21">
        <f t="shared" si="4"/>
        <v>2056.5812732714944</v>
      </c>
      <c r="O8" s="21">
        <f t="shared" si="5"/>
        <v>4113.1625465429888</v>
      </c>
      <c r="P8" s="21">
        <f t="shared" si="6"/>
        <v>4113.1625465429888</v>
      </c>
      <c r="Q8" s="15">
        <f t="shared" si="0"/>
        <v>33897.065915893683</v>
      </c>
      <c r="R8" s="20"/>
      <c r="S8" s="20"/>
      <c r="T8" s="20">
        <f t="shared" ref="T8:T14" si="7">(E8*0.07)</f>
        <v>1079.7051684675348</v>
      </c>
      <c r="U8" s="12">
        <f t="shared" si="1"/>
        <v>1079.7051684675348</v>
      </c>
      <c r="V8" s="20">
        <v>4232.1824347345555</v>
      </c>
      <c r="W8" s="22"/>
      <c r="X8" s="23"/>
      <c r="Y8" s="23"/>
      <c r="Z8" s="23"/>
      <c r="AA8" s="23"/>
      <c r="AB8" s="17">
        <f t="shared" si="2"/>
        <v>6391.5927716696251</v>
      </c>
      <c r="AC8" s="18">
        <f t="shared" si="3"/>
        <v>27505.473144224059</v>
      </c>
    </row>
    <row r="9" spans="2:29" ht="15" customHeight="1" x14ac:dyDescent="0.25">
      <c r="B9" s="8" t="s">
        <v>89</v>
      </c>
      <c r="C9" s="9" t="s">
        <v>31</v>
      </c>
      <c r="D9" s="10">
        <v>8</v>
      </c>
      <c r="E9" s="11">
        <v>13360.854858749999</v>
      </c>
      <c r="F9" s="13">
        <v>1100</v>
      </c>
      <c r="G9" s="13">
        <v>1133</v>
      </c>
      <c r="H9" s="13">
        <v>1140</v>
      </c>
      <c r="I9" s="13">
        <v>1000</v>
      </c>
      <c r="J9" s="12">
        <v>1677.2</v>
      </c>
      <c r="K9" s="12">
        <f>662+100</f>
        <v>762</v>
      </c>
      <c r="L9" s="13">
        <v>325</v>
      </c>
      <c r="M9" s="13">
        <v>838</v>
      </c>
      <c r="N9" s="21">
        <f t="shared" si="4"/>
        <v>1781.4473144999999</v>
      </c>
      <c r="O9" s="21">
        <f t="shared" si="5"/>
        <v>3562.8946289999999</v>
      </c>
      <c r="P9" s="21">
        <f t="shared" si="6"/>
        <v>3562.8946289999999</v>
      </c>
      <c r="Q9" s="15">
        <f t="shared" si="0"/>
        <v>30243.291431249996</v>
      </c>
      <c r="R9" s="20">
        <f>(E9*0.01)</f>
        <v>133.6085485875</v>
      </c>
      <c r="S9" s="20">
        <f>1000</f>
        <v>1000</v>
      </c>
      <c r="T9" s="20">
        <f t="shared" si="7"/>
        <v>935.2598401125</v>
      </c>
      <c r="U9" s="12">
        <f t="shared" si="1"/>
        <v>935.2598401125</v>
      </c>
      <c r="V9" s="20">
        <v>3598.0504037040005</v>
      </c>
      <c r="W9" s="22"/>
      <c r="X9" s="23"/>
      <c r="Y9" s="17">
        <v>4166.67</v>
      </c>
      <c r="Z9" s="23">
        <f>966.64</f>
        <v>966.64</v>
      </c>
      <c r="AA9" s="23"/>
      <c r="AB9" s="17">
        <f t="shared" si="2"/>
        <v>11735.488632516501</v>
      </c>
      <c r="AC9" s="18">
        <f t="shared" si="3"/>
        <v>18507.802798733494</v>
      </c>
    </row>
    <row r="10" spans="2:29" x14ac:dyDescent="0.25">
      <c r="B10" s="8" t="s">
        <v>89</v>
      </c>
      <c r="C10" s="25" t="s">
        <v>33</v>
      </c>
      <c r="D10" s="26">
        <v>7</v>
      </c>
      <c r="E10" s="11">
        <v>12482.481170250001</v>
      </c>
      <c r="F10" s="13">
        <v>1100</v>
      </c>
      <c r="G10" s="13">
        <v>1133</v>
      </c>
      <c r="H10" s="13">
        <v>1140</v>
      </c>
      <c r="I10" s="13"/>
      <c r="J10" s="12">
        <v>1565.2</v>
      </c>
      <c r="K10" s="12">
        <f>651+100</f>
        <v>751</v>
      </c>
      <c r="L10" s="20"/>
      <c r="M10" s="20">
        <v>793</v>
      </c>
      <c r="N10" s="21">
        <f t="shared" si="4"/>
        <v>1664.3308227000002</v>
      </c>
      <c r="O10" s="21">
        <f t="shared" si="5"/>
        <v>3328.6616454000005</v>
      </c>
      <c r="P10" s="21">
        <f t="shared" si="6"/>
        <v>3328.6616454000005</v>
      </c>
      <c r="Q10" s="15">
        <f t="shared" si="0"/>
        <v>27286.335283750002</v>
      </c>
      <c r="R10" s="20">
        <f>(E10*0.01)</f>
        <v>124.82481170250001</v>
      </c>
      <c r="S10" s="20"/>
      <c r="T10" s="20">
        <f t="shared" si="7"/>
        <v>873.7736819175002</v>
      </c>
      <c r="U10" s="12">
        <f t="shared" si="1"/>
        <v>873.7736819175002</v>
      </c>
      <c r="V10" s="20">
        <v>3108.7956149904007</v>
      </c>
      <c r="W10" s="22"/>
      <c r="X10" s="23"/>
      <c r="Y10" s="22">
        <v>4260.91</v>
      </c>
      <c r="Z10" s="22"/>
      <c r="AA10" s="22"/>
      <c r="AB10" s="17">
        <f t="shared" si="2"/>
        <v>9242.077790527901</v>
      </c>
      <c r="AC10" s="18">
        <f t="shared" si="3"/>
        <v>18044.257493222103</v>
      </c>
    </row>
    <row r="11" spans="2:29" x14ac:dyDescent="0.25">
      <c r="B11" s="8" t="s">
        <v>89</v>
      </c>
      <c r="C11" s="9" t="s">
        <v>36</v>
      </c>
      <c r="D11" s="10">
        <v>4</v>
      </c>
      <c r="E11" s="11">
        <v>9610.9981694999988</v>
      </c>
      <c r="F11" s="13">
        <v>1100</v>
      </c>
      <c r="G11" s="13">
        <v>1133</v>
      </c>
      <c r="H11" s="13">
        <v>1140</v>
      </c>
      <c r="I11" s="13"/>
      <c r="J11" s="13">
        <v>845.6</v>
      </c>
      <c r="K11" s="13">
        <f>615+100</f>
        <v>715</v>
      </c>
      <c r="L11" s="13">
        <v>150</v>
      </c>
      <c r="M11" s="20">
        <v>644</v>
      </c>
      <c r="N11" s="21">
        <f t="shared" si="4"/>
        <v>1281.4664225999998</v>
      </c>
      <c r="O11" s="21">
        <f t="shared" si="5"/>
        <v>2562.9328451999995</v>
      </c>
      <c r="P11" s="21">
        <f t="shared" si="6"/>
        <v>2562.9328451999995</v>
      </c>
      <c r="Q11" s="15">
        <f t="shared" si="0"/>
        <v>21745.930282500001</v>
      </c>
      <c r="R11" s="20">
        <f>(E11*0.01)</f>
        <v>96.109981694999988</v>
      </c>
      <c r="S11" s="20"/>
      <c r="T11" s="20">
        <f t="shared" si="7"/>
        <v>672.76987186500003</v>
      </c>
      <c r="U11" s="12">
        <f t="shared" si="1"/>
        <v>672.76987186500003</v>
      </c>
      <c r="V11" s="20">
        <v>2170.71</v>
      </c>
      <c r="W11" s="22"/>
      <c r="X11" s="23"/>
      <c r="Y11" s="23"/>
      <c r="Z11" s="23"/>
      <c r="AA11" s="23"/>
      <c r="AB11" s="17">
        <f t="shared" si="2"/>
        <v>3612.3597254249999</v>
      </c>
      <c r="AC11" s="18">
        <f t="shared" si="3"/>
        <v>18133.570557075</v>
      </c>
    </row>
    <row r="12" spans="2:29" x14ac:dyDescent="0.25">
      <c r="B12" s="8" t="s">
        <v>89</v>
      </c>
      <c r="C12" s="9" t="s">
        <v>37</v>
      </c>
      <c r="D12" s="10">
        <v>4</v>
      </c>
      <c r="E12" s="11">
        <v>9610.9981694999988</v>
      </c>
      <c r="F12" s="13">
        <v>1100</v>
      </c>
      <c r="G12" s="13">
        <v>1133</v>
      </c>
      <c r="H12" s="13">
        <v>1140</v>
      </c>
      <c r="I12" s="13"/>
      <c r="J12" s="13">
        <v>845.6</v>
      </c>
      <c r="K12" s="13">
        <f>615+100</f>
        <v>715</v>
      </c>
      <c r="L12" s="13">
        <v>150</v>
      </c>
      <c r="M12" s="20">
        <v>644</v>
      </c>
      <c r="N12" s="21">
        <f t="shared" si="4"/>
        <v>1281.4664225999998</v>
      </c>
      <c r="O12" s="21">
        <f t="shared" si="5"/>
        <v>2562.9328451999995</v>
      </c>
      <c r="P12" s="21">
        <f t="shared" si="6"/>
        <v>2562.9328451999995</v>
      </c>
      <c r="Q12" s="15">
        <f t="shared" si="0"/>
        <v>21745.930282500001</v>
      </c>
      <c r="R12" s="20">
        <f>(E12*0.01)</f>
        <v>96.109981694999988</v>
      </c>
      <c r="S12" s="20">
        <f>500</f>
        <v>500</v>
      </c>
      <c r="T12" s="20">
        <f t="shared" si="7"/>
        <v>672.76987186500003</v>
      </c>
      <c r="U12" s="12">
        <f t="shared" si="1"/>
        <v>672.76987186500003</v>
      </c>
      <c r="V12" s="20">
        <v>2170.7050626736</v>
      </c>
      <c r="W12" s="22"/>
      <c r="X12" s="23"/>
      <c r="Y12" s="23"/>
      <c r="Z12" s="23"/>
      <c r="AA12" s="23"/>
      <c r="AB12" s="17">
        <f t="shared" si="2"/>
        <v>4112.3547880985998</v>
      </c>
      <c r="AC12" s="18">
        <f t="shared" si="3"/>
        <v>17633.575494401401</v>
      </c>
    </row>
    <row r="13" spans="2:29" x14ac:dyDescent="0.25">
      <c r="B13" s="8" t="s">
        <v>89</v>
      </c>
      <c r="C13" s="9" t="s">
        <v>39</v>
      </c>
      <c r="D13" s="10">
        <v>2</v>
      </c>
      <c r="E13" s="11">
        <v>8024.8779607499991</v>
      </c>
      <c r="F13" s="13">
        <v>1100</v>
      </c>
      <c r="G13" s="13">
        <v>1133</v>
      </c>
      <c r="H13" s="13">
        <v>1140</v>
      </c>
      <c r="I13" s="13"/>
      <c r="J13" s="13">
        <v>704.2</v>
      </c>
      <c r="K13" s="13">
        <f>595+100</f>
        <v>695</v>
      </c>
      <c r="L13" s="13">
        <v>150</v>
      </c>
      <c r="M13" s="20">
        <v>561</v>
      </c>
      <c r="N13" s="21">
        <f t="shared" si="4"/>
        <v>1069.9837280999998</v>
      </c>
      <c r="O13" s="21">
        <f t="shared" si="5"/>
        <v>2139.9674561999996</v>
      </c>
      <c r="P13" s="21">
        <f t="shared" si="6"/>
        <v>2139.9674561999996</v>
      </c>
      <c r="Q13" s="15">
        <f t="shared" si="0"/>
        <v>18857.996601250001</v>
      </c>
      <c r="R13" s="20">
        <f>(E13*0.01)</f>
        <v>80.248779607499998</v>
      </c>
      <c r="S13" s="20">
        <f>500</f>
        <v>500</v>
      </c>
      <c r="T13" s="20">
        <f t="shared" si="7"/>
        <v>561.74145725250003</v>
      </c>
      <c r="U13" s="12">
        <f t="shared" si="1"/>
        <v>561.74145725250003</v>
      </c>
      <c r="V13" s="20">
        <v>1692.8761072215998</v>
      </c>
      <c r="W13" s="22"/>
      <c r="X13" s="23"/>
      <c r="Y13" s="23">
        <v>1392.83</v>
      </c>
      <c r="Z13" s="23">
        <f>966.64</f>
        <v>966.64</v>
      </c>
      <c r="AA13" s="23">
        <f>1933.28</f>
        <v>1933.28</v>
      </c>
      <c r="AB13" s="17">
        <f t="shared" si="2"/>
        <v>7689.3578013340993</v>
      </c>
      <c r="AC13" s="18">
        <f t="shared" si="3"/>
        <v>11168.638799915901</v>
      </c>
    </row>
    <row r="14" spans="2:29" ht="22.5" x14ac:dyDescent="0.25">
      <c r="B14" s="8" t="s">
        <v>89</v>
      </c>
      <c r="C14" s="9" t="s">
        <v>41</v>
      </c>
      <c r="D14" s="10">
        <v>1</v>
      </c>
      <c r="E14" s="11">
        <v>7531.9769857499987</v>
      </c>
      <c r="F14" s="13">
        <v>1100</v>
      </c>
      <c r="G14" s="13">
        <v>1133</v>
      </c>
      <c r="H14" s="13">
        <v>1140</v>
      </c>
      <c r="I14" s="13"/>
      <c r="J14" s="13">
        <v>658</v>
      </c>
      <c r="K14" s="13">
        <f>589+100</f>
        <v>689</v>
      </c>
      <c r="L14" s="13">
        <v>150</v>
      </c>
      <c r="M14" s="20">
        <v>536</v>
      </c>
      <c r="N14" s="21">
        <f t="shared" si="4"/>
        <v>1004.2635980999999</v>
      </c>
      <c r="O14" s="21">
        <f t="shared" si="5"/>
        <v>2008.5271961999997</v>
      </c>
      <c r="P14" s="21">
        <f t="shared" si="6"/>
        <v>2008.5271961999997</v>
      </c>
      <c r="Q14" s="15">
        <f t="shared" si="0"/>
        <v>17959.294976249999</v>
      </c>
      <c r="R14" s="20"/>
      <c r="S14" s="20"/>
      <c r="T14" s="20">
        <f t="shared" si="7"/>
        <v>527.23838900249996</v>
      </c>
      <c r="U14" s="12">
        <f t="shared" si="1"/>
        <v>527.23838900249996</v>
      </c>
      <c r="V14" s="20">
        <v>1544.2529495416002</v>
      </c>
      <c r="W14" s="22"/>
      <c r="X14" s="23"/>
      <c r="Y14" s="23">
        <v>2735.66</v>
      </c>
      <c r="Z14" s="23"/>
      <c r="AA14" s="23"/>
      <c r="AB14" s="17">
        <f t="shared" si="2"/>
        <v>5334.3897275465997</v>
      </c>
      <c r="AC14" s="18">
        <f t="shared" si="3"/>
        <v>12624.905248703399</v>
      </c>
    </row>
    <row r="15" spans="2:29" ht="22.5" x14ac:dyDescent="0.25">
      <c r="B15" s="8" t="s">
        <v>90</v>
      </c>
      <c r="C15" s="9" t="s">
        <v>42</v>
      </c>
      <c r="D15" s="10"/>
      <c r="E15" s="11">
        <v>6069.96</v>
      </c>
      <c r="F15" s="27"/>
      <c r="G15" s="27"/>
      <c r="H15" s="27"/>
      <c r="I15" s="27"/>
      <c r="J15" s="28"/>
      <c r="K15" s="28"/>
      <c r="L15" s="27"/>
      <c r="M15" s="28"/>
      <c r="N15" s="29"/>
      <c r="O15" s="29"/>
      <c r="P15" s="29"/>
      <c r="Q15" s="15">
        <f t="shared" si="0"/>
        <v>6069.96</v>
      </c>
      <c r="R15" s="20"/>
      <c r="S15" s="28"/>
      <c r="T15" s="28"/>
      <c r="U15" s="12"/>
      <c r="V15" s="20">
        <v>527.76699999999994</v>
      </c>
      <c r="W15" s="22"/>
      <c r="X15" s="23"/>
      <c r="Y15" s="23"/>
      <c r="Z15" s="23"/>
      <c r="AA15" s="23"/>
      <c r="AB15" s="17">
        <f t="shared" si="2"/>
        <v>527.76699999999994</v>
      </c>
      <c r="AC15" s="18">
        <f t="shared" si="3"/>
        <v>5542.1930000000002</v>
      </c>
    </row>
    <row r="16" spans="2:29" x14ac:dyDescent="0.25">
      <c r="B16" s="8" t="s">
        <v>44</v>
      </c>
      <c r="C16" s="25" t="s">
        <v>45</v>
      </c>
      <c r="D16" s="31"/>
      <c r="E16" s="32">
        <f>24876/2</f>
        <v>12438</v>
      </c>
      <c r="F16" s="27"/>
      <c r="G16" s="27"/>
      <c r="H16" s="27"/>
      <c r="I16" s="27"/>
      <c r="J16" s="28"/>
      <c r="K16" s="28"/>
      <c r="L16" s="27"/>
      <c r="M16" s="28"/>
      <c r="N16" s="28"/>
      <c r="O16" s="29"/>
      <c r="P16" s="29"/>
      <c r="Q16" s="15">
        <f t="shared" si="0"/>
        <v>12438</v>
      </c>
      <c r="R16" s="28"/>
      <c r="S16" s="28"/>
      <c r="T16" s="28"/>
      <c r="U16" s="32"/>
      <c r="V16" s="28">
        <v>1936</v>
      </c>
      <c r="W16" s="33"/>
      <c r="X16" s="34"/>
      <c r="Y16" s="34"/>
      <c r="Z16" s="34"/>
      <c r="AA16" s="34"/>
      <c r="AB16" s="17">
        <f t="shared" si="2"/>
        <v>1936</v>
      </c>
      <c r="AC16" s="18">
        <f t="shared" si="3"/>
        <v>10502</v>
      </c>
    </row>
    <row r="17" spans="2:30" ht="15.75" thickBot="1" x14ac:dyDescent="0.3">
      <c r="B17" s="35" t="s">
        <v>46</v>
      </c>
      <c r="C17" s="36"/>
      <c r="D17" s="37"/>
      <c r="E17" s="38">
        <f>SUM(E4:E16)</f>
        <v>158698.3168640362</v>
      </c>
      <c r="F17" s="38">
        <f t="shared" ref="F17:Q17" si="8">SUM(F4:F16)</f>
        <v>9200</v>
      </c>
      <c r="G17" s="38">
        <f t="shared" si="8"/>
        <v>8831</v>
      </c>
      <c r="H17" s="38">
        <f t="shared" si="8"/>
        <v>8880</v>
      </c>
      <c r="I17" s="38">
        <f t="shared" si="8"/>
        <v>5150</v>
      </c>
      <c r="J17" s="38">
        <f t="shared" si="8"/>
        <v>11572.400000000001</v>
      </c>
      <c r="K17" s="38">
        <f t="shared" si="8"/>
        <v>5847</v>
      </c>
      <c r="L17" s="38">
        <f t="shared" si="8"/>
        <v>925</v>
      </c>
      <c r="M17" s="38">
        <f t="shared" si="8"/>
        <v>4961</v>
      </c>
      <c r="N17" s="38">
        <f t="shared" si="8"/>
        <v>12142.486248538162</v>
      </c>
      <c r="O17" s="38">
        <f t="shared" si="8"/>
        <v>24284.972497076324</v>
      </c>
      <c r="P17" s="38">
        <f t="shared" si="8"/>
        <v>24284.972497076324</v>
      </c>
      <c r="Q17" s="38">
        <f t="shared" si="8"/>
        <v>274777.14810672699</v>
      </c>
      <c r="R17" s="38">
        <f>SUM(R4:R16)</f>
        <v>530.90210328749993</v>
      </c>
      <c r="S17" s="38">
        <f t="shared" ref="S17:AC17" si="9">SUM(S4:S16)</f>
        <v>2000</v>
      </c>
      <c r="T17" s="38">
        <f t="shared" si="9"/>
        <v>5323.2582804825361</v>
      </c>
      <c r="U17" s="38">
        <f t="shared" si="9"/>
        <v>9813.3249804825355</v>
      </c>
      <c r="V17" s="38">
        <f t="shared" si="9"/>
        <v>33488.794580865761</v>
      </c>
      <c r="W17" s="38">
        <f t="shared" si="9"/>
        <v>0</v>
      </c>
      <c r="X17" s="38">
        <f t="shared" si="9"/>
        <v>0</v>
      </c>
      <c r="Y17" s="38">
        <f t="shared" si="9"/>
        <v>13946.65</v>
      </c>
      <c r="Z17" s="38">
        <f t="shared" si="9"/>
        <v>1933.28</v>
      </c>
      <c r="AA17" s="38">
        <f t="shared" si="9"/>
        <v>1933.28</v>
      </c>
      <c r="AB17" s="38">
        <f t="shared" si="9"/>
        <v>68969.48994511833</v>
      </c>
      <c r="AC17" s="38">
        <f t="shared" si="9"/>
        <v>205807.65816160868</v>
      </c>
      <c r="AD17" s="19"/>
    </row>
    <row r="18" spans="2:30" x14ac:dyDescent="0.25"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</row>
    <row r="29" spans="2:30" x14ac:dyDescent="0.25">
      <c r="B29" t="s">
        <v>87</v>
      </c>
      <c r="C29" t="s">
        <v>91</v>
      </c>
    </row>
    <row r="30" spans="2:30" x14ac:dyDescent="0.25">
      <c r="B30" t="s">
        <v>88</v>
      </c>
      <c r="C30" t="s">
        <v>92</v>
      </c>
    </row>
    <row r="31" spans="2:30" x14ac:dyDescent="0.25">
      <c r="B31" t="s">
        <v>89</v>
      </c>
      <c r="C31" t="s">
        <v>93</v>
      </c>
    </row>
    <row r="32" spans="2:30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3"/>
  <sheetViews>
    <sheetView topLeftCell="A19" workbookViewId="0">
      <selection activeCell="T4" sqref="T4:V16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9.28515625" bestFit="1" customWidth="1"/>
    <col min="7" max="13" width="8.7109375" customWidth="1"/>
    <col min="14" max="14" width="12.5703125" bestFit="1" customWidth="1"/>
    <col min="15" max="15" width="7.42578125" customWidth="1"/>
    <col min="16" max="17" width="8.7109375" bestFit="1" customWidth="1"/>
    <col min="18" max="18" width="9" customWidth="1"/>
    <col min="19" max="19" width="9.5703125" customWidth="1"/>
    <col min="20" max="20" width="8.5703125" customWidth="1"/>
    <col min="21" max="22" width="10.140625" customWidth="1"/>
    <col min="23" max="23" width="9.5703125" customWidth="1"/>
    <col min="24" max="24" width="12.5703125" bestFit="1" customWidth="1"/>
  </cols>
  <sheetData>
    <row r="1" spans="2:24" ht="18.75" x14ac:dyDescent="0.25">
      <c r="E1" s="1"/>
      <c r="F1" s="2" t="s">
        <v>114</v>
      </c>
      <c r="G1" s="2"/>
      <c r="H1" s="2"/>
      <c r="I1" s="2"/>
      <c r="J1" s="2"/>
      <c r="K1" s="2"/>
      <c r="L1" s="2"/>
      <c r="M1" s="2"/>
      <c r="N1" s="2"/>
      <c r="O1" s="2"/>
    </row>
    <row r="2" spans="2:24" ht="16.5" thickBot="1" x14ac:dyDescent="0.3">
      <c r="E2" s="1"/>
      <c r="F2" s="1"/>
      <c r="G2" s="1"/>
      <c r="H2" s="1"/>
      <c r="I2" s="1"/>
      <c r="J2" s="1"/>
      <c r="K2" s="1"/>
      <c r="L2" s="1"/>
      <c r="M2" s="1"/>
    </row>
    <row r="3" spans="2:24" ht="48.75" customHeight="1" x14ac:dyDescent="0.25">
      <c r="B3" s="47"/>
      <c r="C3" s="47" t="s">
        <v>1</v>
      </c>
      <c r="D3" s="4" t="s">
        <v>2</v>
      </c>
      <c r="E3" s="54" t="s">
        <v>3</v>
      </c>
      <c r="F3" s="55" t="s">
        <v>47</v>
      </c>
      <c r="G3" s="55" t="s">
        <v>48</v>
      </c>
      <c r="H3" s="55" t="s">
        <v>49</v>
      </c>
      <c r="I3" s="55" t="s">
        <v>50</v>
      </c>
      <c r="J3" s="55" t="s">
        <v>51</v>
      </c>
      <c r="K3" s="55" t="s">
        <v>52</v>
      </c>
      <c r="L3" s="55" t="s">
        <v>11</v>
      </c>
      <c r="M3" s="55" t="s">
        <v>53</v>
      </c>
      <c r="N3" s="48" t="s">
        <v>96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7" t="s">
        <v>22</v>
      </c>
      <c r="U3" s="49" t="s">
        <v>83</v>
      </c>
      <c r="V3" s="49" t="s">
        <v>84</v>
      </c>
      <c r="W3" s="49" t="s">
        <v>85</v>
      </c>
      <c r="X3" s="50" t="s">
        <v>86</v>
      </c>
    </row>
    <row r="4" spans="2:24" x14ac:dyDescent="0.25">
      <c r="B4" s="8" t="s">
        <v>87</v>
      </c>
      <c r="C4" s="9" t="s">
        <v>115</v>
      </c>
      <c r="D4" s="10">
        <v>17</v>
      </c>
      <c r="E4" s="11">
        <v>19286.689999999999</v>
      </c>
      <c r="F4" s="13"/>
      <c r="G4" s="12">
        <v>300</v>
      </c>
      <c r="H4" s="13"/>
      <c r="I4" s="12"/>
      <c r="J4" s="12"/>
      <c r="K4" s="12"/>
      <c r="L4" s="12"/>
      <c r="M4" s="12"/>
      <c r="N4" s="15">
        <f t="shared" ref="N4:N16" si="0">SUM(E4:M4)</f>
        <v>19586.689999999999</v>
      </c>
      <c r="O4" s="12"/>
      <c r="P4" s="12"/>
      <c r="Q4" s="12"/>
      <c r="R4" s="12">
        <f t="shared" ref="R4:R14" si="1">(E4*0.07)</f>
        <v>1350.0683000000001</v>
      </c>
      <c r="S4" s="12">
        <v>3400.1570879999995</v>
      </c>
      <c r="T4" s="17"/>
      <c r="U4" s="17"/>
      <c r="V4" s="17"/>
      <c r="W4" s="17">
        <f t="shared" ref="W4:W16" si="2">SUM(O4:V4)</f>
        <v>4750.2253879999998</v>
      </c>
      <c r="X4" s="18">
        <f t="shared" ref="X4:X16" si="3">+N4-W4</f>
        <v>14836.464612</v>
      </c>
    </row>
    <row r="5" spans="2:24" x14ac:dyDescent="0.25">
      <c r="B5" s="8" t="s">
        <v>87</v>
      </c>
      <c r="C5" s="9" t="s">
        <v>24</v>
      </c>
      <c r="D5" s="10">
        <v>14</v>
      </c>
      <c r="E5" s="11">
        <v>14917.51</v>
      </c>
      <c r="F5" s="13"/>
      <c r="G5" s="20">
        <v>300</v>
      </c>
      <c r="H5" s="13"/>
      <c r="I5" s="20"/>
      <c r="J5" s="20"/>
      <c r="K5" s="20"/>
      <c r="L5" s="20"/>
      <c r="M5" s="20"/>
      <c r="N5" s="15">
        <f t="shared" si="0"/>
        <v>15217.51</v>
      </c>
      <c r="O5" s="20"/>
      <c r="P5" s="20"/>
      <c r="Q5" s="20"/>
      <c r="R5" s="12">
        <f t="shared" si="1"/>
        <v>1044.2257000000002</v>
      </c>
      <c r="S5" s="20">
        <v>2384.42164</v>
      </c>
      <c r="T5" s="17">
        <v>1390.58</v>
      </c>
      <c r="U5" s="23"/>
      <c r="V5" s="23"/>
      <c r="W5" s="17">
        <f t="shared" si="2"/>
        <v>4819.2273400000004</v>
      </c>
      <c r="X5" s="18">
        <f t="shared" si="3"/>
        <v>10398.282660000001</v>
      </c>
    </row>
    <row r="6" spans="2:24" x14ac:dyDescent="0.25">
      <c r="B6" s="8" t="s">
        <v>87</v>
      </c>
      <c r="C6" s="9" t="s">
        <v>25</v>
      </c>
      <c r="D6" s="10">
        <v>14</v>
      </c>
      <c r="E6" s="11">
        <v>14917.51</v>
      </c>
      <c r="F6" s="13"/>
      <c r="G6" s="20">
        <v>300</v>
      </c>
      <c r="H6" s="13"/>
      <c r="I6" s="20"/>
      <c r="J6" s="20"/>
      <c r="K6" s="20"/>
      <c r="L6" s="20"/>
      <c r="M6" s="20"/>
      <c r="N6" s="15">
        <f t="shared" si="0"/>
        <v>15217.51</v>
      </c>
      <c r="O6" s="20"/>
      <c r="P6" s="20"/>
      <c r="Q6" s="20"/>
      <c r="R6" s="12">
        <f t="shared" si="1"/>
        <v>1044.2257000000002</v>
      </c>
      <c r="S6" s="20">
        <v>2384.42164</v>
      </c>
      <c r="T6" s="23"/>
      <c r="U6" s="23"/>
      <c r="V6" s="23"/>
      <c r="W6" s="17">
        <f t="shared" si="2"/>
        <v>3428.6473400000004</v>
      </c>
      <c r="X6" s="18">
        <f t="shared" si="3"/>
        <v>11788.862659999999</v>
      </c>
    </row>
    <row r="7" spans="2:24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43">
        <v>900</v>
      </c>
      <c r="G7" s="43">
        <v>900</v>
      </c>
      <c r="H7" s="43">
        <v>900</v>
      </c>
      <c r="I7" s="13">
        <v>1000</v>
      </c>
      <c r="J7" s="20"/>
      <c r="K7" s="20">
        <v>750</v>
      </c>
      <c r="L7" s="13"/>
      <c r="M7" s="20"/>
      <c r="N7" s="15">
        <f t="shared" si="0"/>
        <v>19472.099999999999</v>
      </c>
      <c r="O7" s="20"/>
      <c r="P7" s="20"/>
      <c r="Q7" s="20"/>
      <c r="R7" s="12">
        <f t="shared" si="1"/>
        <v>1051.547</v>
      </c>
      <c r="S7" s="20">
        <v>2779.3255199999994</v>
      </c>
      <c r="T7" s="52"/>
      <c r="U7" s="23"/>
      <c r="V7" s="23"/>
      <c r="W7" s="17">
        <f t="shared" si="2"/>
        <v>3830.8725199999994</v>
      </c>
      <c r="X7" s="18">
        <f t="shared" si="3"/>
        <v>15641.22748</v>
      </c>
    </row>
    <row r="8" spans="2:24" ht="15" customHeight="1" x14ac:dyDescent="0.25">
      <c r="B8" s="8" t="s">
        <v>89</v>
      </c>
      <c r="C8" s="9" t="s">
        <v>30</v>
      </c>
      <c r="D8" s="10">
        <v>10</v>
      </c>
      <c r="E8" s="11">
        <v>15424.35954953621</v>
      </c>
      <c r="F8" s="13">
        <v>1133</v>
      </c>
      <c r="G8" s="13">
        <v>1133</v>
      </c>
      <c r="H8" s="13">
        <v>1133</v>
      </c>
      <c r="I8" s="13">
        <v>1000</v>
      </c>
      <c r="J8" s="20"/>
      <c r="K8" s="20">
        <v>606</v>
      </c>
      <c r="L8" s="13"/>
      <c r="M8" s="20">
        <v>999</v>
      </c>
      <c r="N8" s="15">
        <f t="shared" si="0"/>
        <v>21428.35954953621</v>
      </c>
      <c r="O8" s="20"/>
      <c r="P8" s="20"/>
      <c r="Q8" s="20">
        <f t="shared" ref="Q8:Q14" si="4">(E8*0.07)</f>
        <v>1079.7051684675348</v>
      </c>
      <c r="R8" s="12">
        <f t="shared" si="1"/>
        <v>1079.7051684675348</v>
      </c>
      <c r="S8" s="20">
        <v>3029.2865660509165</v>
      </c>
      <c r="T8" s="52"/>
      <c r="U8" s="23"/>
      <c r="V8" s="23"/>
      <c r="W8" s="17">
        <f t="shared" si="2"/>
        <v>5188.6969029859865</v>
      </c>
      <c r="X8" s="18">
        <f t="shared" si="3"/>
        <v>16239.662646550223</v>
      </c>
    </row>
    <row r="9" spans="2:24" ht="15" customHeight="1" x14ac:dyDescent="0.25">
      <c r="B9" s="8" t="s">
        <v>89</v>
      </c>
      <c r="C9" s="9" t="s">
        <v>31</v>
      </c>
      <c r="D9" s="10">
        <v>8</v>
      </c>
      <c r="E9" s="11">
        <v>13360.854858749999</v>
      </c>
      <c r="F9" s="13">
        <v>1133</v>
      </c>
      <c r="G9" s="13">
        <v>1133</v>
      </c>
      <c r="H9" s="13">
        <v>1133</v>
      </c>
      <c r="I9" s="13">
        <v>1000</v>
      </c>
      <c r="J9" s="12"/>
      <c r="K9" s="20">
        <v>525</v>
      </c>
      <c r="L9" s="13">
        <v>325</v>
      </c>
      <c r="M9" s="13">
        <v>925</v>
      </c>
      <c r="N9" s="15">
        <f t="shared" si="0"/>
        <v>19534.854858749997</v>
      </c>
      <c r="O9" s="20">
        <f>(E9*0.01)</f>
        <v>133.6085485875</v>
      </c>
      <c r="P9" s="20">
        <f>1000</f>
        <v>1000</v>
      </c>
      <c r="Q9" s="20">
        <f t="shared" si="4"/>
        <v>935.2598401125</v>
      </c>
      <c r="R9" s="12">
        <f t="shared" si="1"/>
        <v>935.2598401125</v>
      </c>
      <c r="S9" s="20">
        <v>2602.1622627779998</v>
      </c>
      <c r="T9" s="17">
        <v>4166.67</v>
      </c>
      <c r="U9" s="23">
        <f>966.64</f>
        <v>966.64</v>
      </c>
      <c r="V9" s="23"/>
      <c r="W9" s="17">
        <f t="shared" si="2"/>
        <v>10739.6004915905</v>
      </c>
      <c r="X9" s="18">
        <f t="shared" si="3"/>
        <v>8795.2543671594976</v>
      </c>
    </row>
    <row r="10" spans="2:24" x14ac:dyDescent="0.25">
      <c r="B10" s="8" t="s">
        <v>89</v>
      </c>
      <c r="C10" s="25" t="s">
        <v>33</v>
      </c>
      <c r="D10" s="26">
        <v>7</v>
      </c>
      <c r="E10" s="11">
        <v>12482.481170250001</v>
      </c>
      <c r="F10" s="13">
        <v>1133</v>
      </c>
      <c r="G10" s="13">
        <v>1133</v>
      </c>
      <c r="H10" s="13">
        <v>1133</v>
      </c>
      <c r="I10" s="13">
        <v>1000</v>
      </c>
      <c r="J10" s="12">
        <v>295</v>
      </c>
      <c r="K10" s="20">
        <v>491</v>
      </c>
      <c r="L10" s="20"/>
      <c r="M10" s="20">
        <v>893</v>
      </c>
      <c r="N10" s="15">
        <f t="shared" si="0"/>
        <v>18560.481170250001</v>
      </c>
      <c r="O10" s="20">
        <f>(E10*0.01)</f>
        <v>124.82481170250001</v>
      </c>
      <c r="P10" s="20"/>
      <c r="Q10" s="20">
        <f t="shared" si="4"/>
        <v>873.7736819175002</v>
      </c>
      <c r="R10" s="12">
        <f t="shared" si="1"/>
        <v>873.7736819175002</v>
      </c>
      <c r="S10" s="20">
        <v>2360.3854819654002</v>
      </c>
      <c r="T10" s="53">
        <v>4260.91</v>
      </c>
      <c r="U10" s="22"/>
      <c r="V10" s="22"/>
      <c r="W10" s="17">
        <f t="shared" si="2"/>
        <v>8493.6676575029014</v>
      </c>
      <c r="X10" s="18">
        <f t="shared" si="3"/>
        <v>10066.8135127471</v>
      </c>
    </row>
    <row r="11" spans="2:24" x14ac:dyDescent="0.25">
      <c r="B11" s="8" t="s">
        <v>89</v>
      </c>
      <c r="C11" s="9" t="s">
        <v>36</v>
      </c>
      <c r="D11" s="10">
        <v>4</v>
      </c>
      <c r="E11" s="11">
        <v>9610.9981694999988</v>
      </c>
      <c r="F11" s="13">
        <v>1133</v>
      </c>
      <c r="G11" s="13">
        <v>1133</v>
      </c>
      <c r="H11" s="13">
        <v>1133</v>
      </c>
      <c r="I11" s="13">
        <v>1000</v>
      </c>
      <c r="J11" s="13">
        <v>230</v>
      </c>
      <c r="K11" s="20"/>
      <c r="L11" s="13">
        <v>150</v>
      </c>
      <c r="M11" s="20">
        <v>790</v>
      </c>
      <c r="N11" s="15">
        <f t="shared" si="0"/>
        <v>15179.998169499999</v>
      </c>
      <c r="O11" s="20">
        <f>(E11*0.01)</f>
        <v>96.109981694999988</v>
      </c>
      <c r="P11" s="20"/>
      <c r="Q11" s="20">
        <f t="shared" si="4"/>
        <v>672.76987186500003</v>
      </c>
      <c r="R11" s="12">
        <f t="shared" si="1"/>
        <v>672.76987186500003</v>
      </c>
      <c r="S11" s="20">
        <v>1708.6955130051999</v>
      </c>
      <c r="T11" s="52"/>
      <c r="U11" s="23"/>
      <c r="V11" s="23"/>
      <c r="W11" s="17">
        <f t="shared" si="2"/>
        <v>3150.3452384302</v>
      </c>
      <c r="X11" s="18">
        <f t="shared" si="3"/>
        <v>12029.652931069799</v>
      </c>
    </row>
    <row r="12" spans="2:24" x14ac:dyDescent="0.25">
      <c r="B12" s="8" t="s">
        <v>89</v>
      </c>
      <c r="C12" s="9" t="s">
        <v>37</v>
      </c>
      <c r="D12" s="10">
        <v>4</v>
      </c>
      <c r="E12" s="11">
        <v>9610.9981694999988</v>
      </c>
      <c r="F12" s="13">
        <v>1133</v>
      </c>
      <c r="G12" s="13">
        <v>1133</v>
      </c>
      <c r="H12" s="13">
        <v>1133</v>
      </c>
      <c r="I12" s="13">
        <v>1000</v>
      </c>
      <c r="J12" s="13">
        <v>230</v>
      </c>
      <c r="K12" s="20"/>
      <c r="L12" s="13">
        <v>150</v>
      </c>
      <c r="M12" s="20">
        <v>790</v>
      </c>
      <c r="N12" s="15">
        <f t="shared" si="0"/>
        <v>15179.998169499999</v>
      </c>
      <c r="O12" s="20">
        <f>(E12*0.01)</f>
        <v>96.109981694999988</v>
      </c>
      <c r="P12" s="20">
        <f>500</f>
        <v>500</v>
      </c>
      <c r="Q12" s="20">
        <f t="shared" si="4"/>
        <v>672.76987186500003</v>
      </c>
      <c r="R12" s="12">
        <f t="shared" si="1"/>
        <v>672.76987186500003</v>
      </c>
      <c r="S12" s="20">
        <v>1708.6955130051999</v>
      </c>
      <c r="T12" s="52"/>
      <c r="U12" s="23"/>
      <c r="V12" s="23"/>
      <c r="W12" s="17">
        <f t="shared" si="2"/>
        <v>3650.3452384302</v>
      </c>
      <c r="X12" s="18">
        <f t="shared" si="3"/>
        <v>11529.652931069799</v>
      </c>
    </row>
    <row r="13" spans="2:24" x14ac:dyDescent="0.25">
      <c r="B13" s="8" t="s">
        <v>89</v>
      </c>
      <c r="C13" s="9" t="s">
        <v>39</v>
      </c>
      <c r="D13" s="10">
        <v>2</v>
      </c>
      <c r="E13" s="11">
        <v>8024.8779607499991</v>
      </c>
      <c r="F13" s="13">
        <v>1133</v>
      </c>
      <c r="G13" s="13">
        <v>1133</v>
      </c>
      <c r="H13" s="13">
        <v>1133</v>
      </c>
      <c r="I13" s="13">
        <v>1000</v>
      </c>
      <c r="J13" s="13">
        <v>190</v>
      </c>
      <c r="K13" s="20"/>
      <c r="L13" s="13">
        <v>150</v>
      </c>
      <c r="M13" s="20">
        <v>733</v>
      </c>
      <c r="N13" s="15">
        <f t="shared" si="0"/>
        <v>13496.87796075</v>
      </c>
      <c r="O13" s="20">
        <f>(E13*0.01)</f>
        <v>80.248779607499998</v>
      </c>
      <c r="P13" s="20">
        <f>500</f>
        <v>500</v>
      </c>
      <c r="Q13" s="20">
        <f t="shared" si="4"/>
        <v>561.74145725250003</v>
      </c>
      <c r="R13" s="12">
        <f t="shared" si="1"/>
        <v>561.74145725250003</v>
      </c>
      <c r="S13" s="20">
        <v>1359.5406364162002</v>
      </c>
      <c r="T13" s="52">
        <v>1392.83</v>
      </c>
      <c r="U13" s="23">
        <f>966.64</f>
        <v>966.64</v>
      </c>
      <c r="V13" s="23">
        <f>1933.28</f>
        <v>1933.28</v>
      </c>
      <c r="W13" s="17">
        <f t="shared" si="2"/>
        <v>7356.0223305287</v>
      </c>
      <c r="X13" s="18">
        <f t="shared" si="3"/>
        <v>6140.8556302213001</v>
      </c>
    </row>
    <row r="14" spans="2:24" ht="22.5" x14ac:dyDescent="0.25">
      <c r="B14" s="8" t="s">
        <v>89</v>
      </c>
      <c r="C14" s="9" t="s">
        <v>41</v>
      </c>
      <c r="D14" s="10">
        <v>1</v>
      </c>
      <c r="E14" s="11">
        <v>7531.9769857499987</v>
      </c>
      <c r="F14" s="13">
        <v>1133</v>
      </c>
      <c r="G14" s="13">
        <v>1133</v>
      </c>
      <c r="H14" s="13">
        <v>1133</v>
      </c>
      <c r="I14" s="13">
        <v>1000</v>
      </c>
      <c r="J14" s="13">
        <v>180</v>
      </c>
      <c r="K14" s="20"/>
      <c r="L14" s="13">
        <v>150</v>
      </c>
      <c r="M14" s="20">
        <v>715</v>
      </c>
      <c r="N14" s="15">
        <f t="shared" si="0"/>
        <v>12975.97698575</v>
      </c>
      <c r="O14" s="20"/>
      <c r="P14" s="20"/>
      <c r="Q14" s="20">
        <f t="shared" si="4"/>
        <v>527.23838900249996</v>
      </c>
      <c r="R14" s="12">
        <f t="shared" si="1"/>
        <v>527.23838900249996</v>
      </c>
      <c r="S14" s="20">
        <v>1251.2665881562</v>
      </c>
      <c r="T14" s="52">
        <v>2735.66</v>
      </c>
      <c r="U14" s="23"/>
      <c r="V14" s="23"/>
      <c r="W14" s="17">
        <f t="shared" si="2"/>
        <v>5041.4033661611993</v>
      </c>
      <c r="X14" s="18">
        <f t="shared" si="3"/>
        <v>7934.5736195888003</v>
      </c>
    </row>
    <row r="15" spans="2:24" ht="22.5" x14ac:dyDescent="0.25">
      <c r="B15" s="8" t="s">
        <v>90</v>
      </c>
      <c r="C15" s="9" t="s">
        <v>42</v>
      </c>
      <c r="D15" s="10"/>
      <c r="E15" s="11">
        <v>6069.96</v>
      </c>
      <c r="F15" s="30"/>
      <c r="G15" s="30"/>
      <c r="H15" s="30"/>
      <c r="I15" s="27"/>
      <c r="J15" s="28"/>
      <c r="K15" s="28"/>
      <c r="L15" s="28"/>
      <c r="M15" s="20"/>
      <c r="N15" s="15">
        <f t="shared" si="0"/>
        <v>6069.96</v>
      </c>
      <c r="O15" s="20"/>
      <c r="P15" s="28"/>
      <c r="Q15" s="28"/>
      <c r="R15" s="12"/>
      <c r="S15" s="20">
        <v>527.76699999999994</v>
      </c>
      <c r="T15" s="23"/>
      <c r="U15" s="23"/>
      <c r="V15" s="23"/>
      <c r="W15" s="17">
        <f t="shared" si="2"/>
        <v>527.76699999999994</v>
      </c>
      <c r="X15" s="18">
        <f t="shared" si="3"/>
        <v>5542.1930000000002</v>
      </c>
    </row>
    <row r="16" spans="2:24" x14ac:dyDescent="0.25">
      <c r="B16" s="8" t="s">
        <v>44</v>
      </c>
      <c r="C16" s="25" t="s">
        <v>45</v>
      </c>
      <c r="D16" s="31"/>
      <c r="E16" s="32">
        <f>24876/2</f>
        <v>12438</v>
      </c>
      <c r="F16" s="30"/>
      <c r="G16" s="30"/>
      <c r="H16" s="30"/>
      <c r="I16" s="27"/>
      <c r="J16" s="28"/>
      <c r="K16" s="28"/>
      <c r="L16" s="28"/>
      <c r="M16" s="28"/>
      <c r="N16" s="15">
        <f t="shared" si="0"/>
        <v>12438</v>
      </c>
      <c r="O16" s="28"/>
      <c r="P16" s="28"/>
      <c r="Q16" s="28"/>
      <c r="R16" s="32"/>
      <c r="S16" s="28">
        <v>1936</v>
      </c>
      <c r="T16" s="34"/>
      <c r="U16" s="34"/>
      <c r="V16" s="34"/>
      <c r="W16" s="17">
        <f t="shared" si="2"/>
        <v>1936</v>
      </c>
      <c r="X16" s="18">
        <f t="shared" si="3"/>
        <v>10502</v>
      </c>
    </row>
    <row r="17" spans="2:24" ht="15.75" thickBot="1" x14ac:dyDescent="0.3">
      <c r="B17" s="35" t="s">
        <v>46</v>
      </c>
      <c r="C17" s="36"/>
      <c r="D17" s="37"/>
      <c r="E17" s="38">
        <f>SUM(E4:E16)</f>
        <v>158698.3168640362</v>
      </c>
      <c r="F17" s="38">
        <f t="shared" ref="F17:M17" si="5">SUM(F4:F15)</f>
        <v>8831</v>
      </c>
      <c r="G17" s="38">
        <f t="shared" si="5"/>
        <v>9731</v>
      </c>
      <c r="H17" s="38">
        <f t="shared" si="5"/>
        <v>8831</v>
      </c>
      <c r="I17" s="38">
        <f t="shared" si="5"/>
        <v>8000</v>
      </c>
      <c r="J17" s="38">
        <f t="shared" si="5"/>
        <v>1125</v>
      </c>
      <c r="K17" s="38">
        <f t="shared" si="5"/>
        <v>2372</v>
      </c>
      <c r="L17" s="38">
        <f t="shared" si="5"/>
        <v>925</v>
      </c>
      <c r="M17" s="38">
        <f t="shared" si="5"/>
        <v>5845</v>
      </c>
      <c r="N17" s="38">
        <f>SUM(N4:N16)</f>
        <v>204358.31686403617</v>
      </c>
      <c r="O17" s="38">
        <f>SUM(O4:O16)</f>
        <v>530.90210328749993</v>
      </c>
      <c r="P17" s="38">
        <f t="shared" ref="P17:X17" si="6">SUM(P4:P16)</f>
        <v>2000</v>
      </c>
      <c r="Q17" s="38">
        <f t="shared" si="6"/>
        <v>5323.2582804825361</v>
      </c>
      <c r="R17" s="38">
        <f t="shared" si="6"/>
        <v>9813.3249804825355</v>
      </c>
      <c r="S17" s="38">
        <f t="shared" si="6"/>
        <v>27432.125449377116</v>
      </c>
      <c r="T17" s="38">
        <f t="shared" si="6"/>
        <v>13946.65</v>
      </c>
      <c r="U17" s="38">
        <f t="shared" si="6"/>
        <v>1933.28</v>
      </c>
      <c r="V17" s="38">
        <f t="shared" si="6"/>
        <v>1933.28</v>
      </c>
      <c r="W17" s="38">
        <f t="shared" si="6"/>
        <v>62912.820813629682</v>
      </c>
      <c r="X17" s="38">
        <f t="shared" si="6"/>
        <v>141445.49605040651</v>
      </c>
    </row>
    <row r="18" spans="2:24" x14ac:dyDescent="0.25"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pans="2:24" ht="15" customHeight="1" x14ac:dyDescent="0.25"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</row>
    <row r="20" spans="2:24" ht="15" customHeight="1" x14ac:dyDescent="0.25">
      <c r="B20" s="41"/>
      <c r="E20" s="40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</row>
    <row r="21" spans="2:24" ht="15" customHeight="1" x14ac:dyDescent="0.25">
      <c r="B21" s="42"/>
      <c r="E21" s="40"/>
    </row>
    <row r="22" spans="2:24" x14ac:dyDescent="0.25">
      <c r="B22" s="42"/>
      <c r="E22" s="40"/>
    </row>
    <row r="23" spans="2:24" x14ac:dyDescent="0.25">
      <c r="B23" s="42"/>
      <c r="E23" s="40"/>
    </row>
    <row r="24" spans="2:24" x14ac:dyDescent="0.25">
      <c r="B24" s="42"/>
      <c r="E24" s="40"/>
    </row>
    <row r="29" spans="2:24" x14ac:dyDescent="0.25">
      <c r="B29" t="s">
        <v>87</v>
      </c>
      <c r="C29" t="s">
        <v>91</v>
      </c>
    </row>
    <row r="30" spans="2:24" x14ac:dyDescent="0.25">
      <c r="B30" t="s">
        <v>88</v>
      </c>
      <c r="C30" t="s">
        <v>92</v>
      </c>
    </row>
    <row r="31" spans="2:24" x14ac:dyDescent="0.25">
      <c r="B31" t="s">
        <v>89</v>
      </c>
      <c r="C31" t="s">
        <v>93</v>
      </c>
    </row>
    <row r="32" spans="2:24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3"/>
  <sheetViews>
    <sheetView topLeftCell="A16" workbookViewId="0">
      <selection activeCell="B29" sqref="B29:C33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8" width="10.5703125" customWidth="1"/>
    <col min="9" max="9" width="10.140625" customWidth="1"/>
    <col min="10" max="10" width="8.85546875" customWidth="1"/>
    <col min="11" max="11" width="9.7109375" customWidth="1"/>
    <col min="12" max="12" width="9" customWidth="1"/>
    <col min="13" max="14" width="8.85546875" customWidth="1"/>
    <col min="15" max="17" width="8.7109375" customWidth="1"/>
    <col min="18" max="20" width="9.28515625" customWidth="1"/>
    <col min="21" max="21" width="11.5703125" bestFit="1" customWidth="1"/>
    <col min="22" max="22" width="7.42578125" customWidth="1"/>
    <col min="23" max="24" width="8.7109375" bestFit="1" customWidth="1"/>
    <col min="25" max="25" width="9" customWidth="1"/>
    <col min="26" max="26" width="9.5703125" customWidth="1"/>
    <col min="27" max="27" width="8.5703125" customWidth="1"/>
    <col min="28" max="29" width="10.140625" customWidth="1"/>
    <col min="30" max="30" width="9.5703125" customWidth="1"/>
    <col min="31" max="31" width="10.28515625" bestFit="1" customWidth="1"/>
    <col min="32" max="32" width="14.140625" bestFit="1" customWidth="1"/>
  </cols>
  <sheetData>
    <row r="1" spans="2:32" ht="18.75" x14ac:dyDescent="0.25">
      <c r="E1" s="1"/>
      <c r="F1" s="1"/>
      <c r="G1" s="1"/>
      <c r="H1" s="1"/>
      <c r="I1" s="2" t="s">
        <v>128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32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32" ht="48.75" customHeight="1" x14ac:dyDescent="0.25">
      <c r="B3" s="47"/>
      <c r="C3" s="47" t="s">
        <v>1</v>
      </c>
      <c r="D3" s="4" t="s">
        <v>2</v>
      </c>
      <c r="E3" s="54" t="s">
        <v>129</v>
      </c>
      <c r="F3" s="62" t="s">
        <v>130</v>
      </c>
      <c r="G3" s="62" t="s">
        <v>131</v>
      </c>
      <c r="H3" s="62" t="s">
        <v>132</v>
      </c>
      <c r="I3" s="55" t="s">
        <v>4</v>
      </c>
      <c r="J3" s="55" t="s">
        <v>5</v>
      </c>
      <c r="K3" s="55" t="s">
        <v>7</v>
      </c>
      <c r="L3" s="55" t="s">
        <v>8</v>
      </c>
      <c r="M3" s="55" t="s">
        <v>9</v>
      </c>
      <c r="N3" s="55" t="s">
        <v>10</v>
      </c>
      <c r="O3" s="55" t="s">
        <v>11</v>
      </c>
      <c r="P3" s="55" t="s">
        <v>12</v>
      </c>
      <c r="Q3" s="55" t="s">
        <v>13</v>
      </c>
      <c r="R3" s="61" t="s">
        <v>133</v>
      </c>
      <c r="S3" s="61" t="s">
        <v>17</v>
      </c>
      <c r="T3" s="61" t="s">
        <v>17</v>
      </c>
      <c r="U3" s="48" t="s">
        <v>96</v>
      </c>
      <c r="V3" s="5" t="s">
        <v>15</v>
      </c>
      <c r="W3" s="5" t="s">
        <v>16</v>
      </c>
      <c r="X3" s="5" t="s">
        <v>17</v>
      </c>
      <c r="Y3" s="5" t="s">
        <v>18</v>
      </c>
      <c r="Z3" s="5" t="s">
        <v>19</v>
      </c>
      <c r="AA3" s="7" t="s">
        <v>22</v>
      </c>
      <c r="AB3" s="49" t="s">
        <v>83</v>
      </c>
      <c r="AC3" s="49" t="s">
        <v>84</v>
      </c>
      <c r="AD3" s="49" t="s">
        <v>85</v>
      </c>
      <c r="AE3" s="50" t="s">
        <v>86</v>
      </c>
    </row>
    <row r="4" spans="2:32" x14ac:dyDescent="0.25">
      <c r="B4" s="8" t="s">
        <v>87</v>
      </c>
      <c r="C4" s="9" t="s">
        <v>115</v>
      </c>
      <c r="D4" s="10">
        <v>17</v>
      </c>
      <c r="E4" s="11">
        <v>19286.689999999999</v>
      </c>
      <c r="F4" s="11">
        <v>38573.379999999997</v>
      </c>
      <c r="G4" s="11">
        <v>19286.689999999999</v>
      </c>
      <c r="H4" s="11">
        <v>38573.379999999997</v>
      </c>
      <c r="I4" s="13">
        <v>200</v>
      </c>
      <c r="J4" s="12"/>
      <c r="K4" s="13"/>
      <c r="L4" s="12"/>
      <c r="M4" s="12"/>
      <c r="N4" s="12"/>
      <c r="O4" s="12"/>
      <c r="P4" s="12"/>
      <c r="Q4" s="14"/>
      <c r="R4" s="44"/>
      <c r="S4" s="44"/>
      <c r="T4" s="44"/>
      <c r="U4" s="15">
        <f>+G4+SUM(I4:T4)</f>
        <v>19486.689999999999</v>
      </c>
      <c r="V4" s="12"/>
      <c r="W4" s="12"/>
      <c r="X4" s="12"/>
      <c r="Y4" s="12">
        <v>1350.0683000000001</v>
      </c>
      <c r="Z4" s="12">
        <v>3388.3970879999997</v>
      </c>
      <c r="AA4" s="17"/>
      <c r="AB4" s="17"/>
      <c r="AC4" s="17"/>
      <c r="AD4" s="17">
        <f>SUM(V4:AC4)</f>
        <v>4738.4653879999996</v>
      </c>
      <c r="AE4" s="18">
        <f>+U4-AD4</f>
        <v>14748.224611999998</v>
      </c>
    </row>
    <row r="5" spans="2:32" x14ac:dyDescent="0.25">
      <c r="B5" s="8" t="s">
        <v>87</v>
      </c>
      <c r="C5" s="9" t="s">
        <v>24</v>
      </c>
      <c r="D5" s="10">
        <v>14</v>
      </c>
      <c r="E5" s="11">
        <v>14917.51</v>
      </c>
      <c r="F5" s="11">
        <v>29835.02</v>
      </c>
      <c r="G5" s="11">
        <v>14917.51</v>
      </c>
      <c r="H5" s="11">
        <v>29835.02</v>
      </c>
      <c r="I5" s="13">
        <v>200</v>
      </c>
      <c r="J5" s="20"/>
      <c r="K5" s="13"/>
      <c r="L5" s="20"/>
      <c r="M5" s="20"/>
      <c r="N5" s="20"/>
      <c r="O5" s="20"/>
      <c r="P5" s="20"/>
      <c r="Q5" s="21"/>
      <c r="R5" s="44"/>
      <c r="S5" s="44"/>
      <c r="T5" s="44"/>
      <c r="U5" s="15">
        <f t="shared" ref="U5:U16" si="0">+G5+SUM(I5:T5)</f>
        <v>15117.51</v>
      </c>
      <c r="V5" s="20"/>
      <c r="W5" s="20"/>
      <c r="X5" s="20"/>
      <c r="Y5" s="12">
        <v>1044.2257000000002</v>
      </c>
      <c r="Z5" s="20">
        <v>2373.7416400000002</v>
      </c>
      <c r="AA5" s="17">
        <v>1390.58</v>
      </c>
      <c r="AB5" s="23"/>
      <c r="AC5" s="23"/>
      <c r="AD5" s="17">
        <f>SUM(V5:AC5)</f>
        <v>4808.5473400000001</v>
      </c>
      <c r="AE5" s="18">
        <f>+U5-AD5</f>
        <v>10308.962660000001</v>
      </c>
    </row>
    <row r="6" spans="2:32" x14ac:dyDescent="0.25">
      <c r="B6" s="8" t="s">
        <v>87</v>
      </c>
      <c r="C6" s="9" t="s">
        <v>25</v>
      </c>
      <c r="D6" s="10">
        <v>14</v>
      </c>
      <c r="E6" s="11">
        <v>14917.51</v>
      </c>
      <c r="F6" s="11">
        <v>29835.02</v>
      </c>
      <c r="G6" s="11">
        <v>14917.51</v>
      </c>
      <c r="H6" s="11">
        <v>29835.02</v>
      </c>
      <c r="I6" s="13">
        <v>200</v>
      </c>
      <c r="J6" s="20"/>
      <c r="K6" s="13"/>
      <c r="L6" s="20"/>
      <c r="M6" s="20"/>
      <c r="N6" s="20"/>
      <c r="O6" s="20"/>
      <c r="P6" s="20"/>
      <c r="Q6" s="21"/>
      <c r="R6" s="44"/>
      <c r="S6" s="44"/>
      <c r="T6" s="44"/>
      <c r="U6" s="15">
        <f t="shared" si="0"/>
        <v>15117.51</v>
      </c>
      <c r="V6" s="20"/>
      <c r="W6" s="20"/>
      <c r="X6" s="20"/>
      <c r="Y6" s="12">
        <v>1044.2257000000002</v>
      </c>
      <c r="Z6" s="20">
        <v>2373.7416400000002</v>
      </c>
      <c r="AA6" s="23"/>
      <c r="AB6" s="23"/>
      <c r="AC6" s="23"/>
      <c r="AD6" s="17">
        <f>SUM(V6:AC6)</f>
        <v>3417.9673400000001</v>
      </c>
      <c r="AE6" s="18">
        <f>+U6-AD6</f>
        <v>11699.542659999999</v>
      </c>
    </row>
    <row r="7" spans="2:32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11">
        <v>30044.2</v>
      </c>
      <c r="G7" s="11">
        <v>15022.1</v>
      </c>
      <c r="H7" s="11">
        <v>30044.2</v>
      </c>
      <c r="I7" s="13">
        <v>900</v>
      </c>
      <c r="J7" s="13">
        <v>900</v>
      </c>
      <c r="K7" s="13">
        <v>900</v>
      </c>
      <c r="L7" s="13">
        <v>3000</v>
      </c>
      <c r="M7" s="20">
        <v>3341.8</v>
      </c>
      <c r="N7" s="20">
        <v>733</v>
      </c>
      <c r="O7" s="13"/>
      <c r="P7" s="20"/>
      <c r="Q7" s="21"/>
      <c r="R7" s="44">
        <v>7300</v>
      </c>
      <c r="S7" s="44"/>
      <c r="T7" s="44"/>
      <c r="U7" s="15">
        <f t="shared" si="0"/>
        <v>32096.9</v>
      </c>
      <c r="V7" s="20"/>
      <c r="W7" s="20"/>
      <c r="X7" s="20"/>
      <c r="Y7" s="12">
        <v>1051.547</v>
      </c>
      <c r="Z7" s="12">
        <v>4052.3220000000001</v>
      </c>
      <c r="AA7" s="23"/>
      <c r="AB7" s="23"/>
      <c r="AC7" s="23"/>
      <c r="AD7" s="17">
        <f>SUM(V7:AC7)</f>
        <v>5103.8690000000006</v>
      </c>
      <c r="AE7" s="18">
        <f>+U7-AD7</f>
        <v>26993.031000000003</v>
      </c>
    </row>
    <row r="8" spans="2:32" ht="15" customHeight="1" x14ac:dyDescent="0.25">
      <c r="B8" s="8" t="s">
        <v>89</v>
      </c>
      <c r="C8" s="9" t="s">
        <v>30</v>
      </c>
      <c r="D8" s="10">
        <v>10</v>
      </c>
      <c r="E8" s="11">
        <v>15424.35954953621</v>
      </c>
      <c r="F8" s="11">
        <v>30848.719099072419</v>
      </c>
      <c r="G8" s="11">
        <v>15748.271100076468</v>
      </c>
      <c r="H8" s="11">
        <v>31496.542200152937</v>
      </c>
      <c r="I8" s="13">
        <v>1100</v>
      </c>
      <c r="J8" s="13">
        <v>1133</v>
      </c>
      <c r="K8" s="13">
        <v>1140</v>
      </c>
      <c r="L8" s="13">
        <v>1150</v>
      </c>
      <c r="M8" s="20">
        <v>1934.8</v>
      </c>
      <c r="N8" s="20">
        <v>787</v>
      </c>
      <c r="O8" s="13"/>
      <c r="P8" s="20">
        <v>945</v>
      </c>
      <c r="Q8" s="21">
        <v>2099.7694800101958</v>
      </c>
      <c r="R8" s="44">
        <v>9310</v>
      </c>
      <c r="S8" s="59">
        <v>26366.400213977198</v>
      </c>
      <c r="T8" s="59">
        <v>26366.400213977198</v>
      </c>
      <c r="U8" s="15">
        <f t="shared" si="0"/>
        <v>88080.641008041071</v>
      </c>
      <c r="V8" s="20"/>
      <c r="W8" s="20"/>
      <c r="X8" s="20">
        <v>1102.3789770053529</v>
      </c>
      <c r="Y8" s="12">
        <v>1102.3789770053529</v>
      </c>
      <c r="Z8" s="12">
        <v>4440.8855335871849</v>
      </c>
      <c r="AA8" s="23"/>
      <c r="AB8" s="23"/>
      <c r="AC8" s="23"/>
      <c r="AD8" s="17">
        <f>SUM(V8:AC8)</f>
        <v>6645.6434875978903</v>
      </c>
      <c r="AE8" s="18">
        <f>+U8-AD8</f>
        <v>81434.997520443183</v>
      </c>
    </row>
    <row r="9" spans="2:32" ht="15" customHeight="1" x14ac:dyDescent="0.25">
      <c r="B9" s="8" t="s">
        <v>89</v>
      </c>
      <c r="C9" s="9" t="s">
        <v>31</v>
      </c>
      <c r="D9" s="10">
        <v>8</v>
      </c>
      <c r="E9" s="11">
        <v>13360.854858749999</v>
      </c>
      <c r="F9" s="11">
        <v>26721.709717499998</v>
      </c>
      <c r="G9" s="11">
        <v>13641.432810783748</v>
      </c>
      <c r="H9" s="11">
        <v>27282.865621567496</v>
      </c>
      <c r="I9" s="13">
        <v>1100</v>
      </c>
      <c r="J9" s="13">
        <v>1133</v>
      </c>
      <c r="K9" s="13">
        <v>1140</v>
      </c>
      <c r="L9" s="13">
        <v>1000</v>
      </c>
      <c r="M9" s="12">
        <v>1677.2</v>
      </c>
      <c r="N9" s="12">
        <v>762</v>
      </c>
      <c r="O9" s="13">
        <v>325</v>
      </c>
      <c r="P9" s="13">
        <v>838</v>
      </c>
      <c r="Q9" s="21">
        <v>1818.8577081044998</v>
      </c>
      <c r="R9" s="44">
        <v>9310</v>
      </c>
      <c r="S9" s="59">
        <v>22839.045295547246</v>
      </c>
      <c r="T9" s="59">
        <v>22839.045295547246</v>
      </c>
      <c r="U9" s="15">
        <f t="shared" si="0"/>
        <v>78423.581109982741</v>
      </c>
      <c r="V9" s="20">
        <v>136.41432810783749</v>
      </c>
      <c r="W9" s="20">
        <v>1000</v>
      </c>
      <c r="X9" s="20">
        <v>954.90029675486244</v>
      </c>
      <c r="Y9" s="12">
        <v>954.90029675486244</v>
      </c>
      <c r="Z9" s="12">
        <v>3925.3049835694269</v>
      </c>
      <c r="AA9" s="17">
        <v>4166.67</v>
      </c>
      <c r="AB9" s="23">
        <v>966.64</v>
      </c>
      <c r="AC9" s="23"/>
      <c r="AD9" s="17">
        <f>SUM(V9:AC9)</f>
        <v>12104.829905186989</v>
      </c>
      <c r="AE9" s="18">
        <f>+U9-AD9</f>
        <v>66318.751204795757</v>
      </c>
      <c r="AF9" s="19"/>
    </row>
    <row r="10" spans="2:32" x14ac:dyDescent="0.25">
      <c r="B10" s="8" t="s">
        <v>89</v>
      </c>
      <c r="C10" s="25" t="s">
        <v>33</v>
      </c>
      <c r="D10" s="26">
        <v>7</v>
      </c>
      <c r="E10" s="11">
        <v>12482.481170250001</v>
      </c>
      <c r="F10" s="11">
        <v>24964.962340500002</v>
      </c>
      <c r="G10" s="11">
        <v>12744.613274825249</v>
      </c>
      <c r="H10" s="11">
        <v>25489.226549650499</v>
      </c>
      <c r="I10" s="13">
        <v>1100</v>
      </c>
      <c r="J10" s="13">
        <v>1133</v>
      </c>
      <c r="K10" s="13">
        <v>1140</v>
      </c>
      <c r="L10" s="13"/>
      <c r="M10" s="12">
        <v>1565.2</v>
      </c>
      <c r="N10" s="12">
        <v>751</v>
      </c>
      <c r="O10" s="20"/>
      <c r="P10" s="20">
        <v>793</v>
      </c>
      <c r="Q10" s="21">
        <v>1699.2817699766999</v>
      </c>
      <c r="R10" s="44">
        <v>9310</v>
      </c>
      <c r="S10" s="59">
        <v>21337.553312425349</v>
      </c>
      <c r="T10" s="59">
        <v>21337.553312425349</v>
      </c>
      <c r="U10" s="15">
        <f t="shared" si="0"/>
        <v>72911.201669652655</v>
      </c>
      <c r="V10" s="20">
        <v>127.4461327482525</v>
      </c>
      <c r="W10" s="20"/>
      <c r="X10" s="20">
        <v>892.12292923776749</v>
      </c>
      <c r="Y10" s="12">
        <v>892.12292923776749</v>
      </c>
      <c r="Z10" s="12">
        <v>3486.5140983881583</v>
      </c>
      <c r="AA10" s="22">
        <v>4260.91</v>
      </c>
      <c r="AB10" s="22"/>
      <c r="AC10" s="22"/>
      <c r="AD10" s="17">
        <f>SUM(V10:AC10)</f>
        <v>9659.1160896119454</v>
      </c>
      <c r="AE10" s="18">
        <f>+U10-AD10</f>
        <v>63252.085580040708</v>
      </c>
    </row>
    <row r="11" spans="2:32" x14ac:dyDescent="0.25">
      <c r="B11" s="8" t="s">
        <v>89</v>
      </c>
      <c r="C11" s="9" t="s">
        <v>36</v>
      </c>
      <c r="D11" s="10">
        <v>4</v>
      </c>
      <c r="E11" s="11">
        <v>9610.9981694999988</v>
      </c>
      <c r="F11" s="11">
        <v>19221.996338999998</v>
      </c>
      <c r="G11" s="11">
        <v>9812.8291310594977</v>
      </c>
      <c r="H11" s="11">
        <v>19625.658262118995</v>
      </c>
      <c r="I11" s="13">
        <v>1100</v>
      </c>
      <c r="J11" s="13">
        <v>1133</v>
      </c>
      <c r="K11" s="13">
        <v>1140</v>
      </c>
      <c r="L11" s="13"/>
      <c r="M11" s="13">
        <v>845.6</v>
      </c>
      <c r="N11" s="13">
        <v>715</v>
      </c>
      <c r="O11" s="13">
        <v>150</v>
      </c>
      <c r="P11" s="20">
        <v>644</v>
      </c>
      <c r="Q11" s="21">
        <v>1308.3772174745998</v>
      </c>
      <c r="R11" s="44">
        <v>9310</v>
      </c>
      <c r="S11" s="59">
        <v>16429.040270943296</v>
      </c>
      <c r="T11" s="59">
        <v>16429.040270943296</v>
      </c>
      <c r="U11" s="15">
        <f t="shared" si="0"/>
        <v>59016.88689042069</v>
      </c>
      <c r="V11" s="20">
        <v>98.128291310594975</v>
      </c>
      <c r="W11" s="20"/>
      <c r="X11" s="20">
        <v>686.89803917416486</v>
      </c>
      <c r="Y11" s="12">
        <v>686.89803917416486</v>
      </c>
      <c r="Z11" s="12">
        <v>2679.8871324002066</v>
      </c>
      <c r="AA11" s="23"/>
      <c r="AB11" s="23"/>
      <c r="AC11" s="23"/>
      <c r="AD11" s="17">
        <f>SUM(V11:AC11)</f>
        <v>4151.8115020591313</v>
      </c>
      <c r="AE11" s="18">
        <f>+U11-AD11</f>
        <v>54865.075388361562</v>
      </c>
    </row>
    <row r="12" spans="2:32" x14ac:dyDescent="0.25">
      <c r="B12" s="8" t="s">
        <v>89</v>
      </c>
      <c r="C12" s="9" t="s">
        <v>37</v>
      </c>
      <c r="D12" s="10">
        <v>4</v>
      </c>
      <c r="E12" s="11">
        <v>9610.9981694999988</v>
      </c>
      <c r="F12" s="11">
        <v>19221.996338999998</v>
      </c>
      <c r="G12" s="11">
        <v>9812.8291310594977</v>
      </c>
      <c r="H12" s="11">
        <v>19625.658262118995</v>
      </c>
      <c r="I12" s="13">
        <v>1100</v>
      </c>
      <c r="J12" s="13">
        <v>1133</v>
      </c>
      <c r="K12" s="13">
        <v>1140</v>
      </c>
      <c r="L12" s="13"/>
      <c r="M12" s="13">
        <v>845.6</v>
      </c>
      <c r="N12" s="13">
        <v>715</v>
      </c>
      <c r="O12" s="13">
        <v>150</v>
      </c>
      <c r="P12" s="20">
        <v>644</v>
      </c>
      <c r="Q12" s="21">
        <v>1308.3772174745998</v>
      </c>
      <c r="R12" s="44">
        <v>9310</v>
      </c>
      <c r="S12" s="59">
        <v>16429.040270943296</v>
      </c>
      <c r="T12" s="59">
        <v>16429.040270943296</v>
      </c>
      <c r="U12" s="15">
        <f t="shared" si="0"/>
        <v>59016.88689042069</v>
      </c>
      <c r="V12" s="20">
        <v>98.128291310594975</v>
      </c>
      <c r="W12" s="20">
        <v>500</v>
      </c>
      <c r="X12" s="20">
        <v>686.89803917416486</v>
      </c>
      <c r="Y12" s="12">
        <v>686.89803917416486</v>
      </c>
      <c r="Z12" s="12">
        <v>2679.8871324002066</v>
      </c>
      <c r="AA12" s="23"/>
      <c r="AB12" s="23"/>
      <c r="AC12" s="23"/>
      <c r="AD12" s="17">
        <f>SUM(V12:AC12)</f>
        <v>4651.8115020591313</v>
      </c>
      <c r="AE12" s="18">
        <f>+U12-AD12</f>
        <v>54365.075388361562</v>
      </c>
    </row>
    <row r="13" spans="2:32" x14ac:dyDescent="0.25">
      <c r="B13" s="8" t="s">
        <v>89</v>
      </c>
      <c r="C13" s="9" t="s">
        <v>39</v>
      </c>
      <c r="D13" s="10">
        <v>2</v>
      </c>
      <c r="E13" s="11">
        <v>8024.8779607499991</v>
      </c>
      <c r="F13" s="11">
        <v>16049.755921499998</v>
      </c>
      <c r="G13" s="11">
        <v>8193.4003979257486</v>
      </c>
      <c r="H13" s="11">
        <v>16386.800795851497</v>
      </c>
      <c r="I13" s="13">
        <v>1100</v>
      </c>
      <c r="J13" s="13">
        <v>1133</v>
      </c>
      <c r="K13" s="13">
        <v>1140</v>
      </c>
      <c r="L13" s="13"/>
      <c r="M13" s="13">
        <v>704.2</v>
      </c>
      <c r="N13" s="13">
        <v>695</v>
      </c>
      <c r="O13" s="13">
        <v>150</v>
      </c>
      <c r="P13" s="20">
        <v>561</v>
      </c>
      <c r="Q13" s="21">
        <v>1092.4533863900999</v>
      </c>
      <c r="R13" s="44">
        <v>9310</v>
      </c>
      <c r="S13" s="59">
        <v>13717.726386106047</v>
      </c>
      <c r="T13" s="59">
        <v>13717.726386106047</v>
      </c>
      <c r="U13" s="15">
        <f t="shared" si="0"/>
        <v>51514.506556527944</v>
      </c>
      <c r="V13" s="20">
        <v>81.934003979257483</v>
      </c>
      <c r="W13" s="20">
        <v>500</v>
      </c>
      <c r="X13" s="20">
        <v>573.53802785480241</v>
      </c>
      <c r="Y13" s="12">
        <v>573.53802785480241</v>
      </c>
      <c r="Z13" s="12">
        <v>2268.483210663403</v>
      </c>
      <c r="AA13" s="23">
        <v>1392.83</v>
      </c>
      <c r="AB13" s="23">
        <v>966.64</v>
      </c>
      <c r="AC13" s="23">
        <v>1933.28</v>
      </c>
      <c r="AD13" s="17">
        <f>SUM(V13:AC13)</f>
        <v>8290.2432703522663</v>
      </c>
      <c r="AE13" s="18">
        <f>+U13-AD13</f>
        <v>43224.263286175679</v>
      </c>
    </row>
    <row r="14" spans="2:32" ht="22.5" x14ac:dyDescent="0.25">
      <c r="B14" s="8" t="s">
        <v>89</v>
      </c>
      <c r="C14" s="9" t="s">
        <v>41</v>
      </c>
      <c r="D14" s="10">
        <v>1</v>
      </c>
      <c r="E14" s="11">
        <v>7531.9769857499987</v>
      </c>
      <c r="F14" s="11">
        <v>15063.953971499997</v>
      </c>
      <c r="G14" s="11">
        <v>7690.1485024507483</v>
      </c>
      <c r="H14" s="11">
        <v>15380.297004901497</v>
      </c>
      <c r="I14" s="13">
        <v>1100</v>
      </c>
      <c r="J14" s="13">
        <v>1133</v>
      </c>
      <c r="K14" s="13">
        <v>1140</v>
      </c>
      <c r="L14" s="13"/>
      <c r="M14" s="13">
        <v>658</v>
      </c>
      <c r="N14" s="13">
        <v>689</v>
      </c>
      <c r="O14" s="13">
        <v>150</v>
      </c>
      <c r="P14" s="20">
        <v>536</v>
      </c>
      <c r="Q14" s="21">
        <v>1025.3531336600997</v>
      </c>
      <c r="R14" s="44">
        <v>9310</v>
      </c>
      <c r="S14" s="59">
        <v>12875.161459441048</v>
      </c>
      <c r="T14" s="59">
        <v>12875.161459441048</v>
      </c>
      <c r="U14" s="15">
        <f t="shared" si="0"/>
        <v>49181.824554992949</v>
      </c>
      <c r="V14" s="20"/>
      <c r="W14" s="20"/>
      <c r="X14" s="20">
        <v>538.31039517155239</v>
      </c>
      <c r="Y14" s="12">
        <v>538.31039517155239</v>
      </c>
      <c r="Z14" s="12">
        <v>2145.5773387983791</v>
      </c>
      <c r="AA14" s="23">
        <v>2735.66</v>
      </c>
      <c r="AB14" s="23"/>
      <c r="AC14" s="23"/>
      <c r="AD14" s="17">
        <f>SUM(V14:AC14)</f>
        <v>5957.8581291414839</v>
      </c>
      <c r="AE14" s="18">
        <f>+U14-AD14</f>
        <v>43223.966425851468</v>
      </c>
    </row>
    <row r="15" spans="2:32" ht="22.5" x14ac:dyDescent="0.25">
      <c r="B15" s="8" t="s">
        <v>90</v>
      </c>
      <c r="C15" s="9" t="s">
        <v>42</v>
      </c>
      <c r="D15" s="10"/>
      <c r="E15" s="11">
        <v>6069.96</v>
      </c>
      <c r="F15" s="11">
        <v>12139.92</v>
      </c>
      <c r="G15" s="11">
        <v>6069.96</v>
      </c>
      <c r="H15" s="32">
        <v>12139.92</v>
      </c>
      <c r="I15" s="27"/>
      <c r="J15" s="27"/>
      <c r="K15" s="27"/>
      <c r="L15" s="27"/>
      <c r="M15" s="28"/>
      <c r="N15" s="28"/>
      <c r="O15" s="27"/>
      <c r="P15" s="28"/>
      <c r="Q15" s="29"/>
      <c r="R15" s="45"/>
      <c r="S15" s="45"/>
      <c r="T15" s="45"/>
      <c r="U15" s="15">
        <f t="shared" si="0"/>
        <v>6069.96</v>
      </c>
      <c r="V15" s="20"/>
      <c r="W15" s="28"/>
      <c r="X15" s="28"/>
      <c r="Y15" s="12"/>
      <c r="Z15" s="12">
        <v>527.76699999999994</v>
      </c>
      <c r="AA15" s="23"/>
      <c r="AB15" s="23"/>
      <c r="AC15" s="23"/>
      <c r="AD15" s="17">
        <f>SUM(V15:AC15)</f>
        <v>527.76699999999994</v>
      </c>
      <c r="AE15" s="18">
        <f>+U15-AD15</f>
        <v>5542.1930000000002</v>
      </c>
    </row>
    <row r="16" spans="2:32" x14ac:dyDescent="0.25">
      <c r="B16" s="8" t="s">
        <v>44</v>
      </c>
      <c r="C16" s="25" t="s">
        <v>45</v>
      </c>
      <c r="D16" s="31"/>
      <c r="E16" s="32">
        <v>12438</v>
      </c>
      <c r="F16" s="32">
        <v>24876</v>
      </c>
      <c r="G16" s="32">
        <v>12438</v>
      </c>
      <c r="H16" s="32">
        <v>24876</v>
      </c>
      <c r="I16" s="27"/>
      <c r="J16" s="27"/>
      <c r="K16" s="27"/>
      <c r="L16" s="27"/>
      <c r="M16" s="28"/>
      <c r="N16" s="28"/>
      <c r="O16" s="27"/>
      <c r="P16" s="28"/>
      <c r="Q16" s="28"/>
      <c r="R16" s="45"/>
      <c r="S16" s="45"/>
      <c r="T16" s="45"/>
      <c r="U16" s="15">
        <f t="shared" si="0"/>
        <v>12438</v>
      </c>
      <c r="V16" s="28"/>
      <c r="W16" s="28"/>
      <c r="X16" s="28"/>
      <c r="Y16" s="32"/>
      <c r="Z16" s="12">
        <v>1936</v>
      </c>
      <c r="AA16" s="34"/>
      <c r="AB16" s="34"/>
      <c r="AC16" s="34"/>
      <c r="AD16" s="17">
        <f>SUM(V16:AC16)</f>
        <v>1936</v>
      </c>
      <c r="AE16" s="18">
        <f>+U16-AD16</f>
        <v>10502</v>
      </c>
    </row>
    <row r="17" spans="2:32" ht="15.75" thickBot="1" x14ac:dyDescent="0.3">
      <c r="B17" s="35" t="s">
        <v>46</v>
      </c>
      <c r="C17" s="36"/>
      <c r="D17" s="37"/>
      <c r="E17" s="38">
        <f>SUM(E4:E16)</f>
        <v>158698.3168640362</v>
      </c>
      <c r="F17" s="38">
        <f>SUM(F4:F16)</f>
        <v>317396.6337280724</v>
      </c>
      <c r="G17" s="38">
        <f>SUM(G4:G16)</f>
        <v>160295.29434818096</v>
      </c>
      <c r="H17" s="38">
        <f>SUM(H4:H16)</f>
        <v>320590.58869636193</v>
      </c>
      <c r="I17" s="38">
        <f t="shared" ref="I17:T17" si="1">SUM(I4:I15)</f>
        <v>9200</v>
      </c>
      <c r="J17" s="38">
        <f t="shared" si="1"/>
        <v>8831</v>
      </c>
      <c r="K17" s="38">
        <f t="shared" si="1"/>
        <v>8880</v>
      </c>
      <c r="L17" s="38">
        <f t="shared" si="1"/>
        <v>5150</v>
      </c>
      <c r="M17" s="38">
        <f t="shared" si="1"/>
        <v>11572.400000000001</v>
      </c>
      <c r="N17" s="38">
        <f t="shared" si="1"/>
        <v>5847</v>
      </c>
      <c r="O17" s="38">
        <f t="shared" si="1"/>
        <v>925</v>
      </c>
      <c r="P17" s="38">
        <f t="shared" si="1"/>
        <v>4961</v>
      </c>
      <c r="Q17" s="38">
        <f t="shared" si="1"/>
        <v>10352.469913090794</v>
      </c>
      <c r="R17" s="38">
        <f t="shared" si="1"/>
        <v>72470</v>
      </c>
      <c r="S17" s="38">
        <f t="shared" si="1"/>
        <v>129993.96720938348</v>
      </c>
      <c r="T17" s="38">
        <f t="shared" si="1"/>
        <v>129993.96720938348</v>
      </c>
      <c r="U17" s="38">
        <f>SUM(U4:U16)</f>
        <v>558472.0986800387</v>
      </c>
      <c r="V17" s="38">
        <f t="shared" ref="V17:AE17" si="2">SUM(V4:V16)</f>
        <v>542.05104745653739</v>
      </c>
      <c r="W17" s="38">
        <f t="shared" si="2"/>
        <v>2000</v>
      </c>
      <c r="X17" s="38">
        <f t="shared" si="2"/>
        <v>5435.0467043726676</v>
      </c>
      <c r="Y17" s="38">
        <f t="shared" si="2"/>
        <v>9925.1134043726688</v>
      </c>
      <c r="Z17" s="38">
        <f t="shared" si="2"/>
        <v>36278.508797806957</v>
      </c>
      <c r="AA17" s="38">
        <f t="shared" si="2"/>
        <v>13946.65</v>
      </c>
      <c r="AB17" s="38">
        <f t="shared" si="2"/>
        <v>1933.28</v>
      </c>
      <c r="AC17" s="38">
        <f t="shared" si="2"/>
        <v>1933.28</v>
      </c>
      <c r="AD17" s="38">
        <f t="shared" si="2"/>
        <v>71993.92995400884</v>
      </c>
      <c r="AE17" s="38">
        <f t="shared" si="2"/>
        <v>486478.16872602998</v>
      </c>
      <c r="AF17" s="19"/>
    </row>
    <row r="18" spans="2:32" x14ac:dyDescent="0.25"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29" spans="2:32" x14ac:dyDescent="0.25">
      <c r="B29" t="s">
        <v>87</v>
      </c>
      <c r="C29" t="s">
        <v>91</v>
      </c>
    </row>
    <row r="30" spans="2:32" x14ac:dyDescent="0.25">
      <c r="B30" t="s">
        <v>88</v>
      </c>
      <c r="C30" t="s">
        <v>92</v>
      </c>
    </row>
    <row r="31" spans="2:32" x14ac:dyDescent="0.25">
      <c r="B31" t="s">
        <v>89</v>
      </c>
      <c r="C31" t="s">
        <v>93</v>
      </c>
    </row>
    <row r="32" spans="2:32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3"/>
  <sheetViews>
    <sheetView topLeftCell="A19" workbookViewId="0">
      <selection activeCell="B29" sqref="B29:C33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8" width="10.5703125" customWidth="1"/>
    <col min="9" max="16" width="9.28515625" customWidth="1"/>
    <col min="17" max="17" width="13.140625" bestFit="1" customWidth="1"/>
    <col min="18" max="18" width="7.42578125" customWidth="1"/>
    <col min="19" max="20" width="8.7109375" bestFit="1" customWidth="1"/>
    <col min="21" max="21" width="9" customWidth="1"/>
    <col min="22" max="22" width="9.5703125" customWidth="1"/>
    <col min="23" max="23" width="8.5703125" customWidth="1"/>
    <col min="24" max="25" width="10.140625" customWidth="1"/>
    <col min="26" max="26" width="9.5703125" customWidth="1"/>
    <col min="27" max="27" width="11.5703125" bestFit="1" customWidth="1"/>
  </cols>
  <sheetData>
    <row r="1" spans="2:27" ht="18.75" x14ac:dyDescent="0.25">
      <c r="E1" s="1"/>
      <c r="F1" s="1"/>
      <c r="G1" s="1"/>
      <c r="H1" s="1"/>
      <c r="I1" s="2" t="s">
        <v>134</v>
      </c>
      <c r="J1" s="2"/>
      <c r="K1" s="2"/>
      <c r="L1" s="2"/>
      <c r="M1" s="2"/>
      <c r="N1" s="2"/>
      <c r="O1" s="2"/>
      <c r="P1" s="2"/>
      <c r="Q1" s="2"/>
      <c r="R1" s="2"/>
    </row>
    <row r="2" spans="2:27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27" ht="48.75" customHeight="1" x14ac:dyDescent="0.25">
      <c r="B3" s="47"/>
      <c r="C3" s="47" t="s">
        <v>1</v>
      </c>
      <c r="D3" s="4" t="s">
        <v>2</v>
      </c>
      <c r="E3" s="54" t="s">
        <v>129</v>
      </c>
      <c r="F3" s="62" t="s">
        <v>130</v>
      </c>
      <c r="G3" s="62" t="s">
        <v>131</v>
      </c>
      <c r="H3" s="62" t="s">
        <v>132</v>
      </c>
      <c r="I3" s="55" t="s">
        <v>47</v>
      </c>
      <c r="J3" s="55" t="s">
        <v>48</v>
      </c>
      <c r="K3" s="55" t="s">
        <v>49</v>
      </c>
      <c r="L3" s="55" t="s">
        <v>50</v>
      </c>
      <c r="M3" s="55" t="s">
        <v>51</v>
      </c>
      <c r="N3" s="55" t="s">
        <v>52</v>
      </c>
      <c r="O3" s="55" t="s">
        <v>11</v>
      </c>
      <c r="P3" s="55" t="s">
        <v>53</v>
      </c>
      <c r="Q3" s="48" t="s">
        <v>96</v>
      </c>
      <c r="R3" s="5" t="s">
        <v>15</v>
      </c>
      <c r="S3" s="5" t="s">
        <v>16</v>
      </c>
      <c r="T3" s="5" t="s">
        <v>17</v>
      </c>
      <c r="U3" s="5" t="s">
        <v>18</v>
      </c>
      <c r="V3" s="5" t="s">
        <v>19</v>
      </c>
      <c r="W3" s="7" t="s">
        <v>22</v>
      </c>
      <c r="X3" s="49" t="s">
        <v>83</v>
      </c>
      <c r="Y3" s="49" t="s">
        <v>84</v>
      </c>
      <c r="Z3" s="49" t="s">
        <v>85</v>
      </c>
      <c r="AA3" s="50" t="s">
        <v>86</v>
      </c>
    </row>
    <row r="4" spans="2:27" x14ac:dyDescent="0.25">
      <c r="B4" s="8" t="s">
        <v>87</v>
      </c>
      <c r="C4" s="9" t="s">
        <v>115</v>
      </c>
      <c r="D4" s="10">
        <v>17</v>
      </c>
      <c r="E4" s="11">
        <v>19286.689999999999</v>
      </c>
      <c r="F4" s="11">
        <f>+E4*2</f>
        <v>38573.379999999997</v>
      </c>
      <c r="G4" s="11">
        <f>+E4</f>
        <v>19286.689999999999</v>
      </c>
      <c r="H4" s="11">
        <f>+F4</f>
        <v>38573.379999999997</v>
      </c>
      <c r="I4" s="13"/>
      <c r="J4" s="12">
        <v>300</v>
      </c>
      <c r="K4" s="13"/>
      <c r="L4" s="12"/>
      <c r="M4" s="12"/>
      <c r="N4" s="12"/>
      <c r="O4" s="12"/>
      <c r="P4" s="12"/>
      <c r="Q4" s="15">
        <f t="shared" ref="Q4:Q16" si="0">SUM(I4:P4)+G4</f>
        <v>19586.689999999999</v>
      </c>
      <c r="R4" s="12"/>
      <c r="S4" s="12"/>
      <c r="T4" s="12"/>
      <c r="U4" s="12">
        <f t="shared" ref="U4:U14" si="1">(G4*0.07)</f>
        <v>1350.0683000000001</v>
      </c>
      <c r="V4" s="12">
        <v>3400.16</v>
      </c>
      <c r="W4" s="17"/>
      <c r="X4" s="17"/>
      <c r="Y4" s="17"/>
      <c r="Z4" s="17">
        <f>SUM(R4:Y4)</f>
        <v>4750.2282999999998</v>
      </c>
      <c r="AA4" s="18">
        <f>+Q4-Z4</f>
        <v>14836.4617</v>
      </c>
    </row>
    <row r="5" spans="2:27" x14ac:dyDescent="0.25">
      <c r="B5" s="8" t="s">
        <v>87</v>
      </c>
      <c r="C5" s="9" t="s">
        <v>24</v>
      </c>
      <c r="D5" s="10">
        <v>14</v>
      </c>
      <c r="E5" s="11">
        <v>14917.51</v>
      </c>
      <c r="F5" s="11">
        <f t="shared" ref="F5:F15" si="2">+E5*2</f>
        <v>29835.02</v>
      </c>
      <c r="G5" s="11">
        <f t="shared" ref="G5:H7" si="3">+E5</f>
        <v>14917.51</v>
      </c>
      <c r="H5" s="11">
        <f t="shared" si="3"/>
        <v>29835.02</v>
      </c>
      <c r="I5" s="13"/>
      <c r="J5" s="20">
        <v>300</v>
      </c>
      <c r="K5" s="13"/>
      <c r="L5" s="20"/>
      <c r="M5" s="20"/>
      <c r="N5" s="20"/>
      <c r="O5" s="20"/>
      <c r="P5" s="20"/>
      <c r="Q5" s="15">
        <f t="shared" si="0"/>
        <v>15217.51</v>
      </c>
      <c r="R5" s="20"/>
      <c r="S5" s="20"/>
      <c r="T5" s="20"/>
      <c r="U5" s="12">
        <f t="shared" si="1"/>
        <v>1044.2257000000002</v>
      </c>
      <c r="V5" s="20">
        <v>2384.42164</v>
      </c>
      <c r="W5" s="17">
        <v>1390.58</v>
      </c>
      <c r="X5" s="23"/>
      <c r="Y5" s="23"/>
      <c r="Z5" s="17">
        <f>SUM(R5:Y5)</f>
        <v>4819.2273400000004</v>
      </c>
      <c r="AA5" s="18">
        <f>+Q5-Z5</f>
        <v>10398.282660000001</v>
      </c>
    </row>
    <row r="6" spans="2:27" x14ac:dyDescent="0.25">
      <c r="B6" s="8" t="s">
        <v>87</v>
      </c>
      <c r="C6" s="9" t="s">
        <v>25</v>
      </c>
      <c r="D6" s="10">
        <v>14</v>
      </c>
      <c r="E6" s="11">
        <v>14917.51</v>
      </c>
      <c r="F6" s="11">
        <f t="shared" si="2"/>
        <v>29835.02</v>
      </c>
      <c r="G6" s="11">
        <f t="shared" si="3"/>
        <v>14917.51</v>
      </c>
      <c r="H6" s="11">
        <f t="shared" si="3"/>
        <v>29835.02</v>
      </c>
      <c r="I6" s="13"/>
      <c r="J6" s="20">
        <v>300</v>
      </c>
      <c r="K6" s="13"/>
      <c r="L6" s="20"/>
      <c r="M6" s="20"/>
      <c r="N6" s="20"/>
      <c r="O6" s="20"/>
      <c r="P6" s="20"/>
      <c r="Q6" s="15">
        <f t="shared" si="0"/>
        <v>15217.51</v>
      </c>
      <c r="R6" s="20"/>
      <c r="S6" s="20"/>
      <c r="T6" s="20"/>
      <c r="U6" s="12">
        <f t="shared" si="1"/>
        <v>1044.2257000000002</v>
      </c>
      <c r="V6" s="20">
        <v>2384.42164</v>
      </c>
      <c r="W6" s="23"/>
      <c r="X6" s="23"/>
      <c r="Y6" s="23"/>
      <c r="Z6" s="17">
        <f>SUM(R6:Y6)</f>
        <v>3428.6473400000004</v>
      </c>
      <c r="AA6" s="18">
        <f>+Q6-Z6</f>
        <v>11788.862659999999</v>
      </c>
    </row>
    <row r="7" spans="2:27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11">
        <f t="shared" si="2"/>
        <v>30044.2</v>
      </c>
      <c r="G7" s="11">
        <f>+E7</f>
        <v>15022.1</v>
      </c>
      <c r="H7" s="11">
        <f t="shared" si="3"/>
        <v>30044.2</v>
      </c>
      <c r="I7" s="43">
        <v>900</v>
      </c>
      <c r="J7" s="43">
        <v>900</v>
      </c>
      <c r="K7" s="43">
        <v>900</v>
      </c>
      <c r="L7" s="13">
        <v>1000</v>
      </c>
      <c r="M7" s="20"/>
      <c r="N7" s="20">
        <v>750</v>
      </c>
      <c r="O7" s="13"/>
      <c r="P7" s="20"/>
      <c r="Q7" s="15">
        <f t="shared" si="0"/>
        <v>19472.099999999999</v>
      </c>
      <c r="R7" s="20"/>
      <c r="S7" s="20"/>
      <c r="T7" s="20"/>
      <c r="U7" s="12">
        <f t="shared" si="1"/>
        <v>1051.547</v>
      </c>
      <c r="V7" s="20">
        <v>2779.3255199999994</v>
      </c>
      <c r="W7" s="52"/>
      <c r="X7" s="23"/>
      <c r="Y7" s="23"/>
      <c r="Z7" s="17">
        <f>SUM(R7:Y7)</f>
        <v>3830.8725199999994</v>
      </c>
      <c r="AA7" s="18">
        <f>+Q7-Z7</f>
        <v>15641.22748</v>
      </c>
    </row>
    <row r="8" spans="2:27" ht="15" customHeight="1" x14ac:dyDescent="0.25">
      <c r="B8" s="8" t="s">
        <v>89</v>
      </c>
      <c r="C8" s="9" t="s">
        <v>30</v>
      </c>
      <c r="D8" s="10">
        <v>10</v>
      </c>
      <c r="E8" s="11">
        <v>15424.35954953621</v>
      </c>
      <c r="F8" s="11">
        <f t="shared" si="2"/>
        <v>30848.719099072419</v>
      </c>
      <c r="G8" s="11">
        <f t="shared" ref="G8:G14" si="4">+E8*1.021</f>
        <v>15748.271100076468</v>
      </c>
      <c r="H8" s="11">
        <f>+G8*2</f>
        <v>31496.542200152937</v>
      </c>
      <c r="I8" s="13">
        <v>1133</v>
      </c>
      <c r="J8" s="13">
        <v>1133</v>
      </c>
      <c r="K8" s="13">
        <v>1133</v>
      </c>
      <c r="L8" s="13">
        <v>1000</v>
      </c>
      <c r="M8" s="20"/>
      <c r="N8" s="20">
        <v>606</v>
      </c>
      <c r="O8" s="13"/>
      <c r="P8" s="20">
        <v>999</v>
      </c>
      <c r="Q8" s="15">
        <f t="shared" si="0"/>
        <v>21752.271100076468</v>
      </c>
      <c r="R8" s="20"/>
      <c r="S8" s="20"/>
      <c r="T8" s="20">
        <f t="shared" ref="T8:T14" si="5">(G8*0.07)</f>
        <v>1102.3789770053529</v>
      </c>
      <c r="U8" s="12">
        <f t="shared" si="1"/>
        <v>1102.3789770053529</v>
      </c>
      <c r="V8" s="20">
        <v>3105.4705627379853</v>
      </c>
      <c r="W8" s="52"/>
      <c r="X8" s="23"/>
      <c r="Y8" s="23"/>
      <c r="Z8" s="17">
        <f>SUM(R8:Y8)</f>
        <v>5310.2285167486916</v>
      </c>
      <c r="AA8" s="18">
        <f>+Q8-Z8</f>
        <v>16442.042583327777</v>
      </c>
    </row>
    <row r="9" spans="2:27" ht="15" customHeight="1" x14ac:dyDescent="0.25">
      <c r="B9" s="8" t="s">
        <v>89</v>
      </c>
      <c r="C9" s="9" t="s">
        <v>31</v>
      </c>
      <c r="D9" s="10">
        <v>8</v>
      </c>
      <c r="E9" s="11">
        <v>13360.854858749999</v>
      </c>
      <c r="F9" s="11">
        <f t="shared" si="2"/>
        <v>26721.709717499998</v>
      </c>
      <c r="G9" s="11">
        <f t="shared" si="4"/>
        <v>13641.432810783748</v>
      </c>
      <c r="H9" s="11">
        <f t="shared" ref="H9:H14" si="6">+G9*2</f>
        <v>27282.865621567496</v>
      </c>
      <c r="I9" s="13">
        <v>1133</v>
      </c>
      <c r="J9" s="13">
        <v>1133</v>
      </c>
      <c r="K9" s="13">
        <v>1133</v>
      </c>
      <c r="L9" s="13">
        <v>1000</v>
      </c>
      <c r="M9" s="12"/>
      <c r="N9" s="20">
        <v>525</v>
      </c>
      <c r="O9" s="13">
        <v>325</v>
      </c>
      <c r="P9" s="13">
        <v>925</v>
      </c>
      <c r="Q9" s="15">
        <f t="shared" si="0"/>
        <v>19815.43281078375</v>
      </c>
      <c r="R9" s="20">
        <f>(G9*0.01)</f>
        <v>136.41432810783749</v>
      </c>
      <c r="S9" s="20">
        <f>1000</f>
        <v>1000</v>
      </c>
      <c r="T9" s="20">
        <f t="shared" si="5"/>
        <v>954.90029675486244</v>
      </c>
      <c r="U9" s="12">
        <f t="shared" si="1"/>
        <v>954.90029675486244</v>
      </c>
      <c r="V9" s="20">
        <v>2668.1541970963376</v>
      </c>
      <c r="W9" s="17">
        <v>4166.67</v>
      </c>
      <c r="X9" s="23">
        <f>966.64</f>
        <v>966.64</v>
      </c>
      <c r="Y9" s="23"/>
      <c r="Z9" s="17">
        <f>SUM(R9:Y9)</f>
        <v>10847.679118713899</v>
      </c>
      <c r="AA9" s="18">
        <f>+Q9-Z9</f>
        <v>8967.7536920698512</v>
      </c>
    </row>
    <row r="10" spans="2:27" x14ac:dyDescent="0.25">
      <c r="B10" s="8" t="s">
        <v>89</v>
      </c>
      <c r="C10" s="25" t="s">
        <v>33</v>
      </c>
      <c r="D10" s="26">
        <v>7</v>
      </c>
      <c r="E10" s="11">
        <v>12482.481170250001</v>
      </c>
      <c r="F10" s="11">
        <f t="shared" si="2"/>
        <v>24964.962340500002</v>
      </c>
      <c r="G10" s="11">
        <f t="shared" si="4"/>
        <v>12744.613274825249</v>
      </c>
      <c r="H10" s="11">
        <f t="shared" si="6"/>
        <v>25489.226549650499</v>
      </c>
      <c r="I10" s="13">
        <v>1133</v>
      </c>
      <c r="J10" s="13">
        <v>1133</v>
      </c>
      <c r="K10" s="13">
        <v>1133</v>
      </c>
      <c r="L10" s="13">
        <v>1000</v>
      </c>
      <c r="M10" s="12">
        <v>295</v>
      </c>
      <c r="N10" s="20">
        <v>491</v>
      </c>
      <c r="O10" s="20"/>
      <c r="P10" s="20">
        <v>893</v>
      </c>
      <c r="Q10" s="15">
        <f t="shared" si="0"/>
        <v>18822.613274825249</v>
      </c>
      <c r="R10" s="20">
        <f>(G10*0.01)</f>
        <v>127.4461327482525</v>
      </c>
      <c r="S10" s="20"/>
      <c r="T10" s="20">
        <f t="shared" si="5"/>
        <v>892.12292923776749</v>
      </c>
      <c r="U10" s="12">
        <f t="shared" si="1"/>
        <v>892.12292923776749</v>
      </c>
      <c r="V10" s="20">
        <v>2416.3768995026735</v>
      </c>
      <c r="W10" s="53">
        <v>4260.91</v>
      </c>
      <c r="X10" s="22"/>
      <c r="Y10" s="22"/>
      <c r="Z10" s="17">
        <f>SUM(R10:Y10)</f>
        <v>8588.978890726461</v>
      </c>
      <c r="AA10" s="18">
        <f>+Q10-Z10</f>
        <v>10233.634384098788</v>
      </c>
    </row>
    <row r="11" spans="2:27" x14ac:dyDescent="0.25">
      <c r="B11" s="8" t="s">
        <v>89</v>
      </c>
      <c r="C11" s="9" t="s">
        <v>36</v>
      </c>
      <c r="D11" s="10">
        <v>4</v>
      </c>
      <c r="E11" s="11">
        <v>9610.9981694999988</v>
      </c>
      <c r="F11" s="11">
        <f t="shared" si="2"/>
        <v>19221.996338999998</v>
      </c>
      <c r="G11" s="11">
        <f t="shared" si="4"/>
        <v>9812.8291310594977</v>
      </c>
      <c r="H11" s="11">
        <f t="shared" si="6"/>
        <v>19625.658262118995</v>
      </c>
      <c r="I11" s="13">
        <v>1133</v>
      </c>
      <c r="J11" s="13">
        <v>1133</v>
      </c>
      <c r="K11" s="13">
        <v>1133</v>
      </c>
      <c r="L11" s="13">
        <v>1000</v>
      </c>
      <c r="M11" s="13">
        <v>230</v>
      </c>
      <c r="N11" s="20"/>
      <c r="O11" s="13">
        <v>150</v>
      </c>
      <c r="P11" s="20">
        <v>790</v>
      </c>
      <c r="Q11" s="15">
        <f t="shared" si="0"/>
        <v>15381.829131059498</v>
      </c>
      <c r="R11" s="20">
        <f>(G11*0.01)</f>
        <v>98.128291310594975</v>
      </c>
      <c r="S11" s="20"/>
      <c r="T11" s="20">
        <f t="shared" si="5"/>
        <v>686.89803917416486</v>
      </c>
      <c r="U11" s="12">
        <f t="shared" si="1"/>
        <v>686.89803917416486</v>
      </c>
      <c r="V11" s="20">
        <v>1751.8066063943088</v>
      </c>
      <c r="W11" s="52"/>
      <c r="X11" s="23"/>
      <c r="Y11" s="23"/>
      <c r="Z11" s="17">
        <f>SUM(R11:Y11)</f>
        <v>3223.7309760532335</v>
      </c>
      <c r="AA11" s="18">
        <f>+Q11-Z11</f>
        <v>12158.098155006264</v>
      </c>
    </row>
    <row r="12" spans="2:27" x14ac:dyDescent="0.25">
      <c r="B12" s="8" t="s">
        <v>89</v>
      </c>
      <c r="C12" s="9" t="s">
        <v>37</v>
      </c>
      <c r="D12" s="10">
        <v>4</v>
      </c>
      <c r="E12" s="11">
        <v>9610.9981694999988</v>
      </c>
      <c r="F12" s="11">
        <f t="shared" si="2"/>
        <v>19221.996338999998</v>
      </c>
      <c r="G12" s="11">
        <f t="shared" si="4"/>
        <v>9812.8291310594977</v>
      </c>
      <c r="H12" s="11">
        <f t="shared" si="6"/>
        <v>19625.658262118995</v>
      </c>
      <c r="I12" s="13">
        <v>1133</v>
      </c>
      <c r="J12" s="13">
        <v>1133</v>
      </c>
      <c r="K12" s="13">
        <v>1133</v>
      </c>
      <c r="L12" s="13">
        <v>1000</v>
      </c>
      <c r="M12" s="13">
        <v>230</v>
      </c>
      <c r="N12" s="20"/>
      <c r="O12" s="13">
        <v>150</v>
      </c>
      <c r="P12" s="20">
        <v>790</v>
      </c>
      <c r="Q12" s="15">
        <f t="shared" si="0"/>
        <v>15381.829131059498</v>
      </c>
      <c r="R12" s="20">
        <f>(G12*0.01)</f>
        <v>98.128291310594975</v>
      </c>
      <c r="S12" s="20">
        <f>500</f>
        <v>500</v>
      </c>
      <c r="T12" s="20">
        <f t="shared" si="5"/>
        <v>686.89803917416486</v>
      </c>
      <c r="U12" s="12">
        <f t="shared" si="1"/>
        <v>686.89803917416486</v>
      </c>
      <c r="V12" s="20">
        <v>1751.8066063943088</v>
      </c>
      <c r="W12" s="52"/>
      <c r="X12" s="23"/>
      <c r="Y12" s="23"/>
      <c r="Z12" s="17">
        <f>SUM(R12:Y12)</f>
        <v>3723.7309760532335</v>
      </c>
      <c r="AA12" s="18">
        <f>+Q12-Z12</f>
        <v>11658.098155006264</v>
      </c>
    </row>
    <row r="13" spans="2:27" x14ac:dyDescent="0.25">
      <c r="B13" s="8" t="s">
        <v>89</v>
      </c>
      <c r="C13" s="9" t="s">
        <v>39</v>
      </c>
      <c r="D13" s="10">
        <v>2</v>
      </c>
      <c r="E13" s="11">
        <v>8024.8779607499991</v>
      </c>
      <c r="F13" s="11">
        <f t="shared" si="2"/>
        <v>16049.755921499998</v>
      </c>
      <c r="G13" s="11">
        <f t="shared" si="4"/>
        <v>8193.4003979257486</v>
      </c>
      <c r="H13" s="11">
        <f t="shared" si="6"/>
        <v>16386.800795851497</v>
      </c>
      <c r="I13" s="13">
        <v>1133</v>
      </c>
      <c r="J13" s="13">
        <v>1133</v>
      </c>
      <c r="K13" s="13">
        <v>1133</v>
      </c>
      <c r="L13" s="13">
        <v>1000</v>
      </c>
      <c r="M13" s="13">
        <v>190</v>
      </c>
      <c r="N13" s="20"/>
      <c r="O13" s="13">
        <v>150</v>
      </c>
      <c r="P13" s="20">
        <v>733</v>
      </c>
      <c r="Q13" s="15">
        <f t="shared" si="0"/>
        <v>13665.400397925749</v>
      </c>
      <c r="R13" s="20">
        <f>(G13*0.01)</f>
        <v>81.934003979257483</v>
      </c>
      <c r="S13" s="20">
        <f>500</f>
        <v>500</v>
      </c>
      <c r="T13" s="20">
        <f t="shared" si="5"/>
        <v>573.53802785480241</v>
      </c>
      <c r="U13" s="12">
        <f t="shared" si="1"/>
        <v>573.53802785480241</v>
      </c>
      <c r="V13" s="20">
        <v>1395.5370289969401</v>
      </c>
      <c r="W13" s="52">
        <v>1392.83</v>
      </c>
      <c r="X13" s="23">
        <f>966.64</f>
        <v>966.64</v>
      </c>
      <c r="Y13" s="23">
        <f>1933.28</f>
        <v>1933.28</v>
      </c>
      <c r="Z13" s="17">
        <f>SUM(R13:Y13)</f>
        <v>7417.297088685802</v>
      </c>
      <c r="AA13" s="18">
        <f>+Q13-Z13</f>
        <v>6248.1033092399466</v>
      </c>
    </row>
    <row r="14" spans="2:27" ht="22.5" x14ac:dyDescent="0.25">
      <c r="B14" s="8" t="s">
        <v>89</v>
      </c>
      <c r="C14" s="9" t="s">
        <v>41</v>
      </c>
      <c r="D14" s="10">
        <v>1</v>
      </c>
      <c r="E14" s="11">
        <v>7531.9769857499987</v>
      </c>
      <c r="F14" s="11">
        <f t="shared" si="2"/>
        <v>15063.953971499997</v>
      </c>
      <c r="G14" s="11">
        <f t="shared" si="4"/>
        <v>7690.1485024507483</v>
      </c>
      <c r="H14" s="11">
        <f t="shared" si="6"/>
        <v>15380.297004901497</v>
      </c>
      <c r="I14" s="13">
        <v>1133</v>
      </c>
      <c r="J14" s="13">
        <v>1133</v>
      </c>
      <c r="K14" s="13">
        <v>1133</v>
      </c>
      <c r="L14" s="13">
        <v>1000</v>
      </c>
      <c r="M14" s="13">
        <v>180</v>
      </c>
      <c r="N14" s="20"/>
      <c r="O14" s="13">
        <v>150</v>
      </c>
      <c r="P14" s="20">
        <v>715</v>
      </c>
      <c r="Q14" s="15">
        <f t="shared" si="0"/>
        <v>13134.148502450749</v>
      </c>
      <c r="R14" s="20"/>
      <c r="S14" s="20"/>
      <c r="T14" s="20">
        <f t="shared" si="5"/>
        <v>538.31039517155239</v>
      </c>
      <c r="U14" s="12">
        <f t="shared" si="1"/>
        <v>538.31039517155239</v>
      </c>
      <c r="V14" s="20">
        <v>1285.0520241234801</v>
      </c>
      <c r="W14" s="52">
        <v>2735.66</v>
      </c>
      <c r="X14" s="23"/>
      <c r="Y14" s="23"/>
      <c r="Z14" s="17">
        <f>SUM(R14:Y14)</f>
        <v>5097.3328144665848</v>
      </c>
      <c r="AA14" s="18">
        <f>+Q14-Z14</f>
        <v>8036.8156879841645</v>
      </c>
    </row>
    <row r="15" spans="2:27" ht="22.5" x14ac:dyDescent="0.25">
      <c r="B15" s="8" t="s">
        <v>90</v>
      </c>
      <c r="C15" s="9" t="s">
        <v>42</v>
      </c>
      <c r="D15" s="10"/>
      <c r="E15" s="11">
        <v>6069.96</v>
      </c>
      <c r="F15" s="11">
        <f t="shared" si="2"/>
        <v>12139.92</v>
      </c>
      <c r="G15" s="11">
        <f>+E15</f>
        <v>6069.96</v>
      </c>
      <c r="H15" s="32">
        <f>+F15</f>
        <v>12139.92</v>
      </c>
      <c r="I15" s="30"/>
      <c r="J15" s="30"/>
      <c r="K15" s="30"/>
      <c r="L15" s="27"/>
      <c r="M15" s="28"/>
      <c r="N15" s="28"/>
      <c r="O15" s="28"/>
      <c r="P15" s="20"/>
      <c r="Q15" s="15">
        <f t="shared" si="0"/>
        <v>6069.96</v>
      </c>
      <c r="R15" s="20"/>
      <c r="S15" s="28"/>
      <c r="T15" s="28"/>
      <c r="U15" s="12"/>
      <c r="V15" s="20">
        <v>527.76699999999994</v>
      </c>
      <c r="W15" s="23"/>
      <c r="X15" s="23"/>
      <c r="Y15" s="23"/>
      <c r="Z15" s="17">
        <f>SUM(R15:Y15)</f>
        <v>527.76699999999994</v>
      </c>
      <c r="AA15" s="18">
        <f>+Q15-Z15</f>
        <v>5542.1930000000002</v>
      </c>
    </row>
    <row r="16" spans="2:27" x14ac:dyDescent="0.25">
      <c r="B16" s="8" t="s">
        <v>44</v>
      </c>
      <c r="C16" s="25" t="s">
        <v>45</v>
      </c>
      <c r="D16" s="31"/>
      <c r="E16" s="32">
        <v>12438</v>
      </c>
      <c r="F16" s="32"/>
      <c r="G16" s="32">
        <v>12438</v>
      </c>
      <c r="H16" s="32">
        <f>+G16</f>
        <v>12438</v>
      </c>
      <c r="I16" s="30"/>
      <c r="J16" s="30"/>
      <c r="K16" s="30"/>
      <c r="L16" s="27"/>
      <c r="M16" s="28"/>
      <c r="N16" s="28"/>
      <c r="O16" s="28"/>
      <c r="P16" s="28"/>
      <c r="Q16" s="15">
        <f t="shared" si="0"/>
        <v>12438</v>
      </c>
      <c r="R16" s="28"/>
      <c r="S16" s="28"/>
      <c r="T16" s="28"/>
      <c r="U16" s="32"/>
      <c r="V16" s="28">
        <v>1936</v>
      </c>
      <c r="W16" s="34"/>
      <c r="X16" s="34"/>
      <c r="Y16" s="34"/>
      <c r="Z16" s="17">
        <f>SUM(R16:Y16)</f>
        <v>1936</v>
      </c>
      <c r="AA16" s="18">
        <f>+Q16-Z16</f>
        <v>10502</v>
      </c>
    </row>
    <row r="17" spans="2:27" ht="15.75" thickBot="1" x14ac:dyDescent="0.3">
      <c r="B17" s="35" t="s">
        <v>46</v>
      </c>
      <c r="C17" s="36"/>
      <c r="D17" s="37"/>
      <c r="E17" s="38">
        <f>SUM(E4:E15)</f>
        <v>146260.3168640362</v>
      </c>
      <c r="F17" s="38">
        <f>SUM(F4:F15)</f>
        <v>292520.6337280724</v>
      </c>
      <c r="G17" s="38">
        <f>SUM(G4:G16)</f>
        <v>160295.29434818096</v>
      </c>
      <c r="H17" s="38">
        <f t="shared" ref="H17:P17" si="7">SUM(H4:H15)</f>
        <v>295714.58869636193</v>
      </c>
      <c r="I17" s="38">
        <f t="shared" si="7"/>
        <v>8831</v>
      </c>
      <c r="J17" s="38">
        <f t="shared" si="7"/>
        <v>9731</v>
      </c>
      <c r="K17" s="38">
        <f t="shared" si="7"/>
        <v>8831</v>
      </c>
      <c r="L17" s="38">
        <f t="shared" si="7"/>
        <v>8000</v>
      </c>
      <c r="M17" s="38">
        <f t="shared" si="7"/>
        <v>1125</v>
      </c>
      <c r="N17" s="38">
        <f t="shared" si="7"/>
        <v>2372</v>
      </c>
      <c r="O17" s="38">
        <f t="shared" si="7"/>
        <v>925</v>
      </c>
      <c r="P17" s="38">
        <f t="shared" si="7"/>
        <v>5845</v>
      </c>
      <c r="Q17" s="38">
        <f t="shared" ref="Q17:AA17" si="8">SUM(Q4:Q16)</f>
        <v>205955.29434818096</v>
      </c>
      <c r="R17" s="38">
        <f t="shared" si="8"/>
        <v>542.05104745653739</v>
      </c>
      <c r="S17" s="38">
        <f t="shared" si="8"/>
        <v>2000</v>
      </c>
      <c r="T17" s="38">
        <f t="shared" si="8"/>
        <v>5435.0467043726676</v>
      </c>
      <c r="U17" s="38">
        <f t="shared" si="8"/>
        <v>9925.1134043726688</v>
      </c>
      <c r="V17" s="38">
        <f>SUM(V4:V16)</f>
        <v>27786.29972524603</v>
      </c>
      <c r="W17" s="38">
        <f t="shared" si="8"/>
        <v>13946.65</v>
      </c>
      <c r="X17" s="38">
        <f t="shared" si="8"/>
        <v>1933.28</v>
      </c>
      <c r="Y17" s="38">
        <f t="shared" si="8"/>
        <v>1933.28</v>
      </c>
      <c r="Z17" s="38">
        <f t="shared" si="8"/>
        <v>63501.720881447909</v>
      </c>
      <c r="AA17" s="38">
        <f t="shared" si="8"/>
        <v>142453.57346673307</v>
      </c>
    </row>
    <row r="18" spans="2:27" x14ac:dyDescent="0.25"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60"/>
      <c r="R18" s="39"/>
      <c r="S18" s="39"/>
      <c r="T18" s="39"/>
      <c r="U18" s="39"/>
      <c r="V18" s="39"/>
      <c r="W18" s="39"/>
      <c r="X18" s="39"/>
      <c r="Y18" s="39"/>
      <c r="Z18" s="39"/>
      <c r="AA18" s="39"/>
    </row>
    <row r="29" spans="2:27" x14ac:dyDescent="0.25">
      <c r="B29" t="s">
        <v>87</v>
      </c>
      <c r="C29" t="s">
        <v>91</v>
      </c>
    </row>
    <row r="30" spans="2:27" x14ac:dyDescent="0.25">
      <c r="B30" t="s">
        <v>88</v>
      </c>
      <c r="C30" t="s">
        <v>92</v>
      </c>
    </row>
    <row r="31" spans="2:27" x14ac:dyDescent="0.25">
      <c r="B31" t="s">
        <v>89</v>
      </c>
      <c r="C31" t="s">
        <v>93</v>
      </c>
    </row>
    <row r="32" spans="2:27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3"/>
  <sheetViews>
    <sheetView workbookViewId="0">
      <selection activeCell="B29" sqref="B29:C33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8" width="9.28515625" customWidth="1"/>
    <col min="9" max="9" width="10.42578125" bestFit="1" customWidth="1"/>
    <col min="10" max="12" width="9.28515625" customWidth="1"/>
    <col min="13" max="13" width="12.5703125" bestFit="1" customWidth="1"/>
    <col min="14" max="14" width="14.140625" bestFit="1" customWidth="1"/>
    <col min="15" max="15" width="9.5703125" customWidth="1"/>
    <col min="16" max="16" width="10.140625" customWidth="1"/>
    <col min="17" max="17" width="10.140625" hidden="1" customWidth="1"/>
    <col min="18" max="18" width="9.5703125" customWidth="1"/>
    <col min="19" max="19" width="14.140625" bestFit="1" customWidth="1"/>
  </cols>
  <sheetData>
    <row r="1" spans="2:19" ht="18.75" x14ac:dyDescent="0.25">
      <c r="E1" s="1"/>
      <c r="F1" s="2" t="s">
        <v>122</v>
      </c>
      <c r="G1" s="2"/>
      <c r="H1" s="2"/>
      <c r="I1" s="2"/>
      <c r="J1" s="2"/>
      <c r="K1" s="2"/>
      <c r="L1" s="2"/>
      <c r="M1" s="2"/>
      <c r="N1" s="2"/>
    </row>
    <row r="2" spans="2:19" ht="16.5" thickBot="1" x14ac:dyDescent="0.3">
      <c r="E2" s="1"/>
      <c r="F2" s="1"/>
      <c r="G2" s="1"/>
      <c r="H2" s="1"/>
      <c r="I2" s="1"/>
      <c r="J2" s="1"/>
      <c r="K2" s="1"/>
      <c r="L2" s="1"/>
      <c r="M2" s="1"/>
    </row>
    <row r="3" spans="2:19" ht="48.75" customHeight="1" x14ac:dyDescent="0.25">
      <c r="B3" s="63"/>
      <c r="C3" s="47" t="s">
        <v>1</v>
      </c>
      <c r="D3" s="4" t="s">
        <v>2</v>
      </c>
      <c r="E3" s="54" t="s">
        <v>3</v>
      </c>
      <c r="F3" s="55" t="s">
        <v>123</v>
      </c>
      <c r="G3" s="62" t="s">
        <v>131</v>
      </c>
      <c r="H3" s="62" t="s">
        <v>132</v>
      </c>
      <c r="I3" s="55" t="s">
        <v>124</v>
      </c>
      <c r="J3" s="55" t="s">
        <v>125</v>
      </c>
      <c r="K3" s="55" t="s">
        <v>74</v>
      </c>
      <c r="L3" s="55" t="s">
        <v>75</v>
      </c>
      <c r="M3" s="61" t="s">
        <v>126</v>
      </c>
      <c r="N3" s="48" t="s">
        <v>96</v>
      </c>
      <c r="O3" s="5" t="s">
        <v>19</v>
      </c>
      <c r="P3" s="49" t="s">
        <v>135</v>
      </c>
      <c r="Q3" s="49"/>
      <c r="R3" s="49" t="s">
        <v>85</v>
      </c>
      <c r="S3" s="50" t="s">
        <v>86</v>
      </c>
    </row>
    <row r="4" spans="2:19" x14ac:dyDescent="0.25">
      <c r="B4" s="8" t="s">
        <v>87</v>
      </c>
      <c r="C4" s="9" t="s">
        <v>115</v>
      </c>
      <c r="D4" s="10">
        <v>17</v>
      </c>
      <c r="E4" s="11">
        <v>19286.689999999999</v>
      </c>
      <c r="F4" s="13">
        <v>38573.379999999997</v>
      </c>
      <c r="G4" s="13">
        <v>19286.689999999999</v>
      </c>
      <c r="H4" s="13">
        <v>38573.379999999997</v>
      </c>
      <c r="I4" s="12">
        <v>11735.087026666664</v>
      </c>
      <c r="J4" s="13">
        <v>3257.1</v>
      </c>
      <c r="K4" s="12">
        <v>3431.1451799999995</v>
      </c>
      <c r="L4" s="12">
        <v>850.5</v>
      </c>
      <c r="M4" s="12">
        <v>3567.0989910080079</v>
      </c>
      <c r="N4" s="15">
        <v>22840.931197674676</v>
      </c>
      <c r="O4" s="12">
        <f>+M4</f>
        <v>3567.0989910080079</v>
      </c>
      <c r="P4" s="17"/>
      <c r="Q4" s="17"/>
      <c r="R4" s="17">
        <f>SUM(O4:Q4)</f>
        <v>3567.0989910080079</v>
      </c>
      <c r="S4" s="18">
        <f>+N4-R4</f>
        <v>19273.832206666666</v>
      </c>
    </row>
    <row r="5" spans="2:19" x14ac:dyDescent="0.25">
      <c r="B5" s="8" t="s">
        <v>87</v>
      </c>
      <c r="C5" s="9" t="s">
        <v>24</v>
      </c>
      <c r="D5" s="10">
        <v>14</v>
      </c>
      <c r="E5" s="11">
        <v>14917.51</v>
      </c>
      <c r="F5" s="13">
        <v>29835.02</v>
      </c>
      <c r="G5" s="13">
        <v>14917.51</v>
      </c>
      <c r="H5" s="13">
        <v>29835.02</v>
      </c>
      <c r="I5" s="12">
        <v>56880.355313333333</v>
      </c>
      <c r="J5" s="13">
        <v>3257.1</v>
      </c>
      <c r="K5" s="12">
        <v>9094.5066666666662</v>
      </c>
      <c r="L5" s="12">
        <v>850.5</v>
      </c>
      <c r="M5" s="12">
        <v>15312.515766323872</v>
      </c>
      <c r="N5" s="15">
        <v>85394.977746323857</v>
      </c>
      <c r="O5" s="12">
        <f t="shared" ref="O5:O15" si="0">+M5</f>
        <v>15312.515766323872</v>
      </c>
      <c r="P5" s="23"/>
      <c r="Q5" s="23"/>
      <c r="R5" s="17">
        <f>SUM(O5:Q5)</f>
        <v>15312.515766323872</v>
      </c>
      <c r="S5" s="18">
        <f>+N5-R5</f>
        <v>70082.461979999993</v>
      </c>
    </row>
    <row r="6" spans="2:19" x14ac:dyDescent="0.25">
      <c r="B6" s="8" t="s">
        <v>87</v>
      </c>
      <c r="C6" s="9" t="s">
        <v>25</v>
      </c>
      <c r="D6" s="10">
        <v>14</v>
      </c>
      <c r="E6" s="11">
        <v>14917.51</v>
      </c>
      <c r="F6" s="13">
        <v>29835.02</v>
      </c>
      <c r="G6" s="13">
        <v>14917.51</v>
      </c>
      <c r="H6" s="13">
        <v>29835.02</v>
      </c>
      <c r="I6" s="12">
        <v>66357.946666666656</v>
      </c>
      <c r="J6" s="13">
        <v>3257.1</v>
      </c>
      <c r="K6" s="12">
        <v>9094.5066666666662</v>
      </c>
      <c r="L6" s="12">
        <v>850.5</v>
      </c>
      <c r="M6" s="12">
        <v>17538.402775918574</v>
      </c>
      <c r="N6" s="15">
        <v>97098.4561092519</v>
      </c>
      <c r="O6" s="12">
        <f t="shared" si="0"/>
        <v>17538.402775918574</v>
      </c>
      <c r="P6" s="23"/>
      <c r="Q6" s="23"/>
      <c r="R6" s="17">
        <f>SUM(O6:Q6)</f>
        <v>17538.402775918574</v>
      </c>
      <c r="S6" s="18">
        <f>+N6-R6</f>
        <v>79560.05333333333</v>
      </c>
    </row>
    <row r="7" spans="2:19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13">
        <v>30044.2</v>
      </c>
      <c r="G7" s="13">
        <v>15022.1</v>
      </c>
      <c r="H7" s="13">
        <v>30044.2</v>
      </c>
      <c r="I7" s="12">
        <v>66846.033333333326</v>
      </c>
      <c r="J7" s="13">
        <v>3257.1</v>
      </c>
      <c r="K7" s="12">
        <v>9164.2333333333336</v>
      </c>
      <c r="L7" s="12">
        <v>850.5</v>
      </c>
      <c r="M7" s="12">
        <v>21927.970596052633</v>
      </c>
      <c r="N7" s="15">
        <v>102045.8372627193</v>
      </c>
      <c r="O7" s="12">
        <f t="shared" si="0"/>
        <v>21927.970596052633</v>
      </c>
      <c r="P7" s="23"/>
      <c r="Q7" s="23"/>
      <c r="R7" s="17">
        <f>SUM(O7:Q7)</f>
        <v>21927.970596052633</v>
      </c>
      <c r="S7" s="18">
        <f>+N7-R7</f>
        <v>80117.866666666669</v>
      </c>
    </row>
    <row r="8" spans="2:19" ht="15" customHeight="1" x14ac:dyDescent="0.25">
      <c r="B8" s="8" t="s">
        <v>89</v>
      </c>
      <c r="C8" s="9" t="s">
        <v>127</v>
      </c>
      <c r="D8" s="10">
        <v>10</v>
      </c>
      <c r="E8" s="11">
        <v>15424.35954953621</v>
      </c>
      <c r="F8" s="13">
        <v>30848.719099072419</v>
      </c>
      <c r="G8" s="13">
        <v>15748.271100076468</v>
      </c>
      <c r="H8" s="13">
        <v>31496.542200152937</v>
      </c>
      <c r="I8" s="12">
        <v>69500.005028510583</v>
      </c>
      <c r="J8" s="13">
        <v>3257.1</v>
      </c>
      <c r="K8" s="12">
        <v>9469.8669942501128</v>
      </c>
      <c r="L8" s="12">
        <v>850.5</v>
      </c>
      <c r="M8" s="12">
        <v>23690.963834703998</v>
      </c>
      <c r="N8" s="15">
        <v>106768.4358574647</v>
      </c>
      <c r="O8" s="12">
        <f t="shared" si="0"/>
        <v>23690.963834703998</v>
      </c>
      <c r="P8" s="23"/>
      <c r="Q8" s="23"/>
      <c r="R8" s="17">
        <f>SUM(O8:Q8)</f>
        <v>23690.963834703998</v>
      </c>
      <c r="S8" s="18">
        <f>+N8-R8</f>
        <v>83077.472022760703</v>
      </c>
    </row>
    <row r="9" spans="2:19" ht="15" customHeight="1" x14ac:dyDescent="0.25">
      <c r="B9" s="8" t="s">
        <v>89</v>
      </c>
      <c r="C9" s="9" t="s">
        <v>31</v>
      </c>
      <c r="D9" s="10">
        <v>8</v>
      </c>
      <c r="E9" s="11">
        <v>13360.854858749999</v>
      </c>
      <c r="F9" s="13">
        <v>26721.709717499998</v>
      </c>
      <c r="G9" s="13">
        <v>13641.432810783748</v>
      </c>
      <c r="H9" s="13">
        <v>27282.865621567496</v>
      </c>
      <c r="I9" s="12">
        <v>60293.86848630038</v>
      </c>
      <c r="J9" s="13">
        <v>3257.1</v>
      </c>
      <c r="K9" s="12">
        <v>8243.7885405224988</v>
      </c>
      <c r="L9" s="12">
        <v>850.5</v>
      </c>
      <c r="M9" s="12">
        <v>19745.463965686649</v>
      </c>
      <c r="N9" s="15">
        <v>92390.720992509523</v>
      </c>
      <c r="O9" s="12">
        <f t="shared" si="0"/>
        <v>19745.463965686649</v>
      </c>
      <c r="P9" s="23"/>
      <c r="Q9" s="23"/>
      <c r="R9" s="17">
        <f>SUM(O9:Q9)</f>
        <v>19745.463965686649</v>
      </c>
      <c r="S9" s="18">
        <f>+N9-R9</f>
        <v>72645.257026822874</v>
      </c>
    </row>
    <row r="10" spans="2:19" x14ac:dyDescent="0.25">
      <c r="B10" s="8" t="s">
        <v>89</v>
      </c>
      <c r="C10" s="25" t="s">
        <v>33</v>
      </c>
      <c r="D10" s="26">
        <v>7</v>
      </c>
      <c r="E10" s="11">
        <v>12482.481170250001</v>
      </c>
      <c r="F10" s="13">
        <v>24964.962340500002</v>
      </c>
      <c r="G10" s="13">
        <v>12744.613274825249</v>
      </c>
      <c r="H10" s="13">
        <v>25489.226549650499</v>
      </c>
      <c r="I10" s="12">
        <v>56115.879937872924</v>
      </c>
      <c r="J10" s="13">
        <v>3257.1</v>
      </c>
      <c r="K10" s="12">
        <v>7645.908849883499</v>
      </c>
      <c r="L10" s="12">
        <v>850.5</v>
      </c>
      <c r="M10" s="12">
        <v>15886.57912066367</v>
      </c>
      <c r="N10" s="15">
        <v>83755.967908420091</v>
      </c>
      <c r="O10" s="12">
        <f t="shared" si="0"/>
        <v>15886.57912066367</v>
      </c>
      <c r="P10" s="22"/>
      <c r="Q10" s="22"/>
      <c r="R10" s="17">
        <f>SUM(O10:Q10)</f>
        <v>15886.57912066367</v>
      </c>
      <c r="S10" s="18">
        <f>+N10-R10</f>
        <v>67869.388787756427</v>
      </c>
    </row>
    <row r="11" spans="2:19" x14ac:dyDescent="0.25">
      <c r="B11" s="8" t="s">
        <v>89</v>
      </c>
      <c r="C11" s="9" t="s">
        <v>36</v>
      </c>
      <c r="D11" s="10">
        <v>4</v>
      </c>
      <c r="E11" s="11">
        <v>9610.9981694999988</v>
      </c>
      <c r="F11" s="13">
        <v>19221.996338999998</v>
      </c>
      <c r="G11" s="13">
        <v>9812.8291310594977</v>
      </c>
      <c r="H11" s="13">
        <v>19625.658262118995</v>
      </c>
      <c r="I11" s="12">
        <v>42457.657644551538</v>
      </c>
      <c r="J11" s="13">
        <v>3257.1</v>
      </c>
      <c r="K11" s="12">
        <v>5691.3860873729991</v>
      </c>
      <c r="L11" s="12">
        <v>850.5</v>
      </c>
      <c r="M11" s="12">
        <v>11324.658602633614</v>
      </c>
      <c r="N11" s="15">
        <v>63581.302334558153</v>
      </c>
      <c r="O11" s="12">
        <f t="shared" si="0"/>
        <v>11324.658602633614</v>
      </c>
      <c r="P11" s="23"/>
      <c r="Q11" s="23"/>
      <c r="R11" s="17">
        <f>SUM(O11:Q11)</f>
        <v>11324.658602633614</v>
      </c>
      <c r="S11" s="18">
        <f>+N11-R11</f>
        <v>52256.643731924538</v>
      </c>
    </row>
    <row r="12" spans="2:19" x14ac:dyDescent="0.25">
      <c r="B12" s="8" t="s">
        <v>89</v>
      </c>
      <c r="C12" s="9" t="s">
        <v>37</v>
      </c>
      <c r="D12" s="10">
        <v>4</v>
      </c>
      <c r="E12" s="11">
        <v>9610.9981694999988</v>
      </c>
      <c r="F12" s="13">
        <v>19221.996338999998</v>
      </c>
      <c r="G12" s="13">
        <v>9812.8291310594977</v>
      </c>
      <c r="H12" s="13">
        <v>19625.658262118995</v>
      </c>
      <c r="I12" s="12">
        <v>42457.657644551538</v>
      </c>
      <c r="J12" s="13">
        <v>3257.1</v>
      </c>
      <c r="K12" s="12">
        <v>5691.3860873729991</v>
      </c>
      <c r="L12" s="12">
        <v>850.5</v>
      </c>
      <c r="M12" s="12">
        <v>11324.658602633614</v>
      </c>
      <c r="N12" s="15">
        <v>63581.302334558153</v>
      </c>
      <c r="O12" s="12">
        <f t="shared" si="0"/>
        <v>11324.658602633614</v>
      </c>
      <c r="P12" s="23"/>
      <c r="Q12" s="23"/>
      <c r="R12" s="17">
        <f>SUM(O12:Q12)</f>
        <v>11324.658602633614</v>
      </c>
      <c r="S12" s="18">
        <f>+N12-R12</f>
        <v>52256.643731924538</v>
      </c>
    </row>
    <row r="13" spans="2:19" x14ac:dyDescent="0.25">
      <c r="B13" s="8" t="s">
        <v>89</v>
      </c>
      <c r="C13" s="9" t="s">
        <v>39</v>
      </c>
      <c r="D13" s="10">
        <v>2</v>
      </c>
      <c r="E13" s="11">
        <v>8024.8779607499991</v>
      </c>
      <c r="F13" s="13">
        <v>16049.755921499998</v>
      </c>
      <c r="G13" s="13">
        <v>8193.4003979257486</v>
      </c>
      <c r="H13" s="13">
        <v>16386.800795851497</v>
      </c>
      <c r="I13" s="12">
        <v>34061.155828353578</v>
      </c>
      <c r="J13" s="13">
        <v>3257.1</v>
      </c>
      <c r="K13" s="12">
        <v>4365.9649200127278</v>
      </c>
      <c r="L13" s="12">
        <v>850.5</v>
      </c>
      <c r="M13" s="12">
        <v>9038.0625182346212</v>
      </c>
      <c r="N13" s="15">
        <v>51572.783266600927</v>
      </c>
      <c r="O13" s="12">
        <f t="shared" si="0"/>
        <v>9038.0625182346212</v>
      </c>
      <c r="P13" s="23">
        <v>10000</v>
      </c>
      <c r="Q13" s="23"/>
      <c r="R13" s="17">
        <f>SUM(O13:Q13)</f>
        <v>19038.062518234619</v>
      </c>
      <c r="S13" s="18">
        <f>+N13-R13</f>
        <v>32534.720748366308</v>
      </c>
    </row>
    <row r="14" spans="2:19" ht="22.5" x14ac:dyDescent="0.25">
      <c r="B14" s="8" t="s">
        <v>89</v>
      </c>
      <c r="C14" s="9" t="s">
        <v>41</v>
      </c>
      <c r="D14" s="10">
        <v>1</v>
      </c>
      <c r="E14" s="11">
        <v>7531.9769857499987</v>
      </c>
      <c r="F14" s="13">
        <v>15063.953971499997</v>
      </c>
      <c r="G14" s="13">
        <v>7690.1485024507483</v>
      </c>
      <c r="H14" s="13">
        <v>15380.297004901497</v>
      </c>
      <c r="I14" s="12">
        <v>32568.783681945803</v>
      </c>
      <c r="J14" s="13">
        <v>3257.1</v>
      </c>
      <c r="K14" s="12">
        <v>4276.2656683004989</v>
      </c>
      <c r="L14" s="12">
        <v>850.5</v>
      </c>
      <c r="M14" s="12">
        <v>8665.954243755752</v>
      </c>
      <c r="N14" s="15">
        <v>49618.603594002052</v>
      </c>
      <c r="O14" s="12">
        <f t="shared" si="0"/>
        <v>8665.954243755752</v>
      </c>
      <c r="P14" s="23"/>
      <c r="Q14" s="23"/>
      <c r="R14" s="17">
        <f>SUM(O14:Q14)</f>
        <v>8665.954243755752</v>
      </c>
      <c r="S14" s="18">
        <f>+N14-R14</f>
        <v>40952.649350246298</v>
      </c>
    </row>
    <row r="15" spans="2:19" ht="22.5" x14ac:dyDescent="0.25">
      <c r="B15" s="8" t="s">
        <v>90</v>
      </c>
      <c r="C15" s="9" t="s">
        <v>42</v>
      </c>
      <c r="D15" s="10"/>
      <c r="E15" s="11">
        <v>6069.96</v>
      </c>
      <c r="F15" s="13">
        <v>12139.92</v>
      </c>
      <c r="G15" s="13">
        <v>6069.96</v>
      </c>
      <c r="H15" s="13">
        <v>12139.92</v>
      </c>
      <c r="I15" s="12">
        <v>25069.38</v>
      </c>
      <c r="J15" s="13">
        <v>3257.1</v>
      </c>
      <c r="K15" s="12">
        <v>3196.14</v>
      </c>
      <c r="L15" s="12">
        <v>850.5</v>
      </c>
      <c r="M15" s="12">
        <v>4900.8113149753681</v>
      </c>
      <c r="N15" s="15">
        <v>37273.931314975365</v>
      </c>
      <c r="O15" s="12">
        <f t="shared" si="0"/>
        <v>4900.8113149753681</v>
      </c>
      <c r="P15" s="23"/>
      <c r="Q15" s="23"/>
      <c r="R15" s="17">
        <f>SUM(O15:Q15)</f>
        <v>4900.8113149753681</v>
      </c>
      <c r="S15" s="18">
        <f>+N15-R15</f>
        <v>32373.119999999995</v>
      </c>
    </row>
    <row r="16" spans="2:19" x14ac:dyDescent="0.25">
      <c r="B16" s="8" t="s">
        <v>44</v>
      </c>
      <c r="C16" s="25" t="s">
        <v>45</v>
      </c>
      <c r="D16" s="31"/>
      <c r="E16" s="32">
        <v>12438</v>
      </c>
      <c r="F16" s="27"/>
      <c r="G16" s="27"/>
      <c r="H16" s="27"/>
      <c r="I16" s="32">
        <v>49752</v>
      </c>
      <c r="J16" s="27"/>
      <c r="K16" s="32"/>
      <c r="L16" s="32"/>
      <c r="M16" s="12"/>
      <c r="N16" s="15">
        <v>49752</v>
      </c>
      <c r="O16" s="12">
        <v>7744</v>
      </c>
      <c r="P16" s="34"/>
      <c r="Q16" s="34"/>
      <c r="R16" s="17">
        <f>SUM(O16:Q16)</f>
        <v>7744</v>
      </c>
      <c r="S16" s="18">
        <f>+N16-R16</f>
        <v>42008</v>
      </c>
    </row>
    <row r="17" spans="2:19" ht="15.75" thickBot="1" x14ac:dyDescent="0.3">
      <c r="B17" s="35" t="s">
        <v>46</v>
      </c>
      <c r="C17" s="36"/>
      <c r="D17" s="37"/>
      <c r="E17" s="38">
        <f>SUM(E4:E15)</f>
        <v>146260.3168640362</v>
      </c>
      <c r="F17" s="38">
        <f>SUM(F4:F15)</f>
        <v>292520.6337280724</v>
      </c>
      <c r="G17" s="38">
        <f>SUM(G4:G15)</f>
        <v>147857.29434818096</v>
      </c>
      <c r="H17" s="38">
        <f>SUM(H4:H15)</f>
        <v>295714.58869636193</v>
      </c>
      <c r="I17" s="38">
        <f t="shared" ref="I17:S17" si="1">SUM(I4:I16)</f>
        <v>614095.8105920864</v>
      </c>
      <c r="J17" s="38">
        <f t="shared" si="1"/>
        <v>39085.19999999999</v>
      </c>
      <c r="K17" s="38">
        <f t="shared" si="1"/>
        <v>79365.098994382002</v>
      </c>
      <c r="L17" s="38">
        <f t="shared" si="1"/>
        <v>10206</v>
      </c>
      <c r="M17" s="38">
        <f t="shared" si="1"/>
        <v>162923.14033259038</v>
      </c>
      <c r="N17" s="38">
        <f t="shared" si="1"/>
        <v>905675.24991905864</v>
      </c>
      <c r="O17" s="38">
        <f t="shared" si="1"/>
        <v>170667.14033259038</v>
      </c>
      <c r="P17" s="38">
        <f t="shared" si="1"/>
        <v>10000</v>
      </c>
      <c r="Q17" s="38">
        <f t="shared" si="1"/>
        <v>0</v>
      </c>
      <c r="R17" s="38">
        <f t="shared" si="1"/>
        <v>180667.14033259038</v>
      </c>
      <c r="S17" s="38">
        <f t="shared" si="1"/>
        <v>725008.10958646843</v>
      </c>
    </row>
    <row r="18" spans="2:19" x14ac:dyDescent="0.25"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</row>
    <row r="29" spans="2:19" x14ac:dyDescent="0.25">
      <c r="B29" t="s">
        <v>87</v>
      </c>
      <c r="C29" t="s">
        <v>91</v>
      </c>
    </row>
    <row r="30" spans="2:19" x14ac:dyDescent="0.25">
      <c r="B30" t="s">
        <v>88</v>
      </c>
      <c r="C30" t="s">
        <v>92</v>
      </c>
    </row>
    <row r="31" spans="2:19" x14ac:dyDescent="0.25">
      <c r="B31" t="s">
        <v>89</v>
      </c>
      <c r="C31" t="s">
        <v>93</v>
      </c>
    </row>
    <row r="32" spans="2:19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3"/>
  <sheetViews>
    <sheetView tabSelected="1" topLeftCell="A19" workbookViewId="0">
      <selection activeCell="S30" sqref="S30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8" width="10.5703125" customWidth="1"/>
    <col min="9" max="9" width="10.140625" customWidth="1"/>
    <col min="10" max="10" width="9.42578125" bestFit="1" customWidth="1"/>
    <col min="11" max="11" width="9.7109375" customWidth="1"/>
    <col min="12" max="12" width="9" customWidth="1"/>
    <col min="13" max="13" width="8.85546875" customWidth="1"/>
    <col min="14" max="16" width="8.7109375" customWidth="1"/>
    <col min="17" max="17" width="11.5703125" bestFit="1" customWidth="1"/>
    <col min="18" max="18" width="7.42578125" customWidth="1"/>
    <col min="19" max="19" width="8.7109375" bestFit="1" customWidth="1"/>
    <col min="20" max="20" width="9" customWidth="1"/>
    <col min="21" max="22" width="9.5703125" customWidth="1"/>
    <col min="23" max="23" width="10.28515625" bestFit="1" customWidth="1"/>
  </cols>
  <sheetData>
    <row r="1" spans="2:23" ht="18.75" x14ac:dyDescent="0.25">
      <c r="E1" s="1"/>
      <c r="F1" s="1"/>
      <c r="G1" s="1"/>
      <c r="H1" s="1"/>
      <c r="I1" s="2" t="s">
        <v>116</v>
      </c>
      <c r="J1" s="2"/>
      <c r="K1" s="2"/>
      <c r="L1" s="2"/>
      <c r="M1" s="2"/>
      <c r="N1" s="2"/>
      <c r="O1" s="2"/>
      <c r="P1" s="2"/>
      <c r="Q1" s="2"/>
      <c r="R1" s="2"/>
    </row>
    <row r="2" spans="2:23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23" ht="48.75" customHeight="1" x14ac:dyDescent="0.25">
      <c r="B3" s="47"/>
      <c r="C3" s="47" t="s">
        <v>1</v>
      </c>
      <c r="D3" s="4" t="s">
        <v>2</v>
      </c>
      <c r="E3" s="54" t="s">
        <v>3</v>
      </c>
      <c r="F3" s="55" t="s">
        <v>123</v>
      </c>
      <c r="G3" s="62" t="s">
        <v>117</v>
      </c>
      <c r="H3" s="62" t="s">
        <v>118</v>
      </c>
      <c r="I3" s="55" t="s">
        <v>119</v>
      </c>
      <c r="J3" s="55" t="s">
        <v>120</v>
      </c>
      <c r="K3" s="55" t="s">
        <v>59</v>
      </c>
      <c r="L3" s="55" t="s">
        <v>65</v>
      </c>
      <c r="M3" s="55" t="s">
        <v>121</v>
      </c>
      <c r="N3" s="55" t="s">
        <v>101</v>
      </c>
      <c r="O3" s="55" t="s">
        <v>14</v>
      </c>
      <c r="P3" s="55" t="s">
        <v>104</v>
      </c>
      <c r="Q3" s="48" t="s">
        <v>96</v>
      </c>
      <c r="R3" s="5" t="s">
        <v>15</v>
      </c>
      <c r="S3" s="5" t="s">
        <v>17</v>
      </c>
      <c r="T3" s="5" t="s">
        <v>18</v>
      </c>
      <c r="U3" s="5" t="s">
        <v>19</v>
      </c>
      <c r="V3" s="49" t="s">
        <v>85</v>
      </c>
      <c r="W3" s="50" t="s">
        <v>86</v>
      </c>
    </row>
    <row r="4" spans="2:23" ht="15" customHeight="1" x14ac:dyDescent="0.25">
      <c r="B4" s="8">
        <v>63701</v>
      </c>
      <c r="C4" s="9" t="s">
        <v>30</v>
      </c>
      <c r="D4" s="10">
        <v>10</v>
      </c>
      <c r="E4" s="11">
        <v>15424.35954953621</v>
      </c>
      <c r="F4" s="11">
        <v>30848.719099072419</v>
      </c>
      <c r="G4" s="11">
        <v>6478.2310108052079</v>
      </c>
      <c r="H4" s="11">
        <v>15748.271100076468</v>
      </c>
      <c r="I4" s="13">
        <v>172.75282695480564</v>
      </c>
      <c r="J4" s="20">
        <v>215.94103369350705</v>
      </c>
      <c r="K4" s="12">
        <v>129.56462021610423</v>
      </c>
      <c r="L4" s="13">
        <v>172.75282695480564</v>
      </c>
      <c r="M4" s="20">
        <v>215.94103369350705</v>
      </c>
      <c r="N4" s="20">
        <v>172.75282695480564</v>
      </c>
      <c r="O4" s="20">
        <v>64.782310108052116</v>
      </c>
      <c r="P4" s="21">
        <v>129.56462021610423</v>
      </c>
      <c r="Q4" s="15">
        <f t="shared" ref="Q4:Q11" si="0">SUM(I4:P4)+G4</f>
        <v>7752.2831095968995</v>
      </c>
      <c r="R4" s="20"/>
      <c r="S4" s="20">
        <f>(G4*0.07)</f>
        <v>453.47617075636458</v>
      </c>
      <c r="T4" s="12">
        <f>(G4*0.07)+80.49</f>
        <v>533.96617075636459</v>
      </c>
      <c r="U4" s="20">
        <v>526.35027432414256</v>
      </c>
      <c r="V4" s="17">
        <f t="shared" ref="V4:V11" si="1">SUM(R4:U4)</f>
        <v>1513.7926158368718</v>
      </c>
      <c r="W4" s="18">
        <f t="shared" ref="W4:W11" si="2">+Q4-V4</f>
        <v>6238.4904937600277</v>
      </c>
    </row>
    <row r="5" spans="2:23" ht="15" customHeight="1" x14ac:dyDescent="0.25">
      <c r="B5" s="8">
        <v>180181</v>
      </c>
      <c r="C5" s="9" t="s">
        <v>31</v>
      </c>
      <c r="D5" s="10">
        <v>8</v>
      </c>
      <c r="E5" s="11">
        <v>13360.854858749999</v>
      </c>
      <c r="F5" s="11">
        <v>26721.709717499998</v>
      </c>
      <c r="G5" s="11">
        <v>5611.5590406750007</v>
      </c>
      <c r="H5" s="11">
        <v>13641.432810783748</v>
      </c>
      <c r="I5" s="13">
        <v>149.64157441799944</v>
      </c>
      <c r="J5" s="20">
        <v>187.05196802249884</v>
      </c>
      <c r="K5" s="12">
        <v>112.23118081350003</v>
      </c>
      <c r="L5" s="13">
        <v>149.64157441799944</v>
      </c>
      <c r="M5" s="20">
        <v>187.05196802249884</v>
      </c>
      <c r="N5" s="20">
        <v>149.64157441799944</v>
      </c>
      <c r="O5" s="20">
        <v>56.115590406750016</v>
      </c>
      <c r="P5" s="21">
        <v>112.23118081350003</v>
      </c>
      <c r="Q5" s="15">
        <f t="shared" si="0"/>
        <v>6715.1656520077468</v>
      </c>
      <c r="R5" s="20">
        <f t="shared" ref="R5:R10" si="3">(G5*0.01)</f>
        <v>56.115590406750009</v>
      </c>
      <c r="S5" s="20">
        <f t="shared" ref="S5:S11" si="4">(G5*0.07)</f>
        <v>392.80913284725011</v>
      </c>
      <c r="T5" s="12">
        <f t="shared" ref="T5:T11" si="5">(G5*0.07)</f>
        <v>392.80913284725011</v>
      </c>
      <c r="U5" s="20">
        <v>413.51189493844277</v>
      </c>
      <c r="V5" s="17">
        <f t="shared" si="1"/>
        <v>1255.245751039693</v>
      </c>
      <c r="W5" s="18">
        <f t="shared" si="2"/>
        <v>5459.9199009680542</v>
      </c>
    </row>
    <row r="6" spans="2:23" x14ac:dyDescent="0.25">
      <c r="B6" s="24"/>
      <c r="C6" s="25" t="s">
        <v>33</v>
      </c>
      <c r="D6" s="26">
        <v>7</v>
      </c>
      <c r="E6" s="11">
        <v>12482.481170250001</v>
      </c>
      <c r="F6" s="11">
        <v>24964.962340500002</v>
      </c>
      <c r="G6" s="11">
        <v>5242.6420915050003</v>
      </c>
      <c r="H6" s="11">
        <v>12744.613274825249</v>
      </c>
      <c r="I6" s="13">
        <v>139.80378910679883</v>
      </c>
      <c r="J6" s="20">
        <v>174.75473638349831</v>
      </c>
      <c r="K6" s="12">
        <v>104.85284183009844</v>
      </c>
      <c r="L6" s="13">
        <v>139.80378910679883</v>
      </c>
      <c r="M6" s="20">
        <v>174.75473638349831</v>
      </c>
      <c r="N6" s="20">
        <v>139.80378910679883</v>
      </c>
      <c r="O6" s="20">
        <v>52.426420915049221</v>
      </c>
      <c r="P6" s="21">
        <v>104.85284183009844</v>
      </c>
      <c r="Q6" s="15">
        <f t="shared" si="0"/>
        <v>6273.695036167639</v>
      </c>
      <c r="R6" s="20">
        <f t="shared" si="3"/>
        <v>52.426420915050002</v>
      </c>
      <c r="S6" s="20">
        <f t="shared" si="4"/>
        <v>366.98494640535006</v>
      </c>
      <c r="T6" s="12">
        <f t="shared" si="5"/>
        <v>366.98494640535006</v>
      </c>
      <c r="U6" s="20">
        <v>368.08928231472896</v>
      </c>
      <c r="V6" s="17">
        <f t="shared" si="1"/>
        <v>1154.4855960404791</v>
      </c>
      <c r="W6" s="18">
        <f t="shared" si="2"/>
        <v>5119.2094401271597</v>
      </c>
    </row>
    <row r="7" spans="2:23" s="51" customFormat="1" x14ac:dyDescent="0.25">
      <c r="B7" s="8">
        <v>52369</v>
      </c>
      <c r="C7" s="9" t="s">
        <v>35</v>
      </c>
      <c r="D7" s="10">
        <v>5</v>
      </c>
      <c r="E7" s="11">
        <v>10948.878517500001</v>
      </c>
      <c r="F7" s="11">
        <v>21897.757035000002</v>
      </c>
      <c r="G7" s="11">
        <v>3678.8231818800004</v>
      </c>
      <c r="H7" s="11">
        <v>11178.804966367501</v>
      </c>
      <c r="I7" s="13">
        <v>122.62743939599932</v>
      </c>
      <c r="J7" s="20">
        <v>153.2842992449996</v>
      </c>
      <c r="K7" s="12">
        <v>91.970579546999033</v>
      </c>
      <c r="L7" s="13">
        <v>114.96322443374993</v>
      </c>
      <c r="M7" s="20">
        <v>153.2842992449996</v>
      </c>
      <c r="N7" s="20">
        <v>114.96322443374993</v>
      </c>
      <c r="O7" s="20">
        <v>45.985289773499517</v>
      </c>
      <c r="P7" s="21">
        <v>88.138472065875249</v>
      </c>
      <c r="Q7" s="15">
        <f>SUM(I7:P7)+G7</f>
        <v>4564.0400100198731</v>
      </c>
      <c r="R7" s="20">
        <f t="shared" si="3"/>
        <v>36.788231818800007</v>
      </c>
      <c r="S7" s="20">
        <v>257.51762273160006</v>
      </c>
      <c r="T7" s="12">
        <v>257.51762273160006</v>
      </c>
      <c r="U7" s="20">
        <v>318.75880594531168</v>
      </c>
      <c r="V7" s="17">
        <f t="shared" si="1"/>
        <v>870.58228322731179</v>
      </c>
      <c r="W7" s="18">
        <f t="shared" si="2"/>
        <v>3693.4577267925615</v>
      </c>
    </row>
    <row r="8" spans="2:23" x14ac:dyDescent="0.25">
      <c r="B8" s="8">
        <v>60252</v>
      </c>
      <c r="C8" s="9" t="s">
        <v>36</v>
      </c>
      <c r="D8" s="10">
        <v>4</v>
      </c>
      <c r="E8" s="11">
        <v>9610.9981694999988</v>
      </c>
      <c r="F8" s="11">
        <v>19221.996338999998</v>
      </c>
      <c r="G8" s="11">
        <v>4036.6192311899999</v>
      </c>
      <c r="H8" s="11">
        <v>9812.8291310594977</v>
      </c>
      <c r="I8" s="13">
        <v>107.64317949840006</v>
      </c>
      <c r="J8" s="20">
        <v>134.55397437300053</v>
      </c>
      <c r="K8" s="12">
        <v>80.732384623799589</v>
      </c>
      <c r="L8" s="13">
        <v>107.64317949840006</v>
      </c>
      <c r="M8" s="20">
        <v>134.55397437300053</v>
      </c>
      <c r="N8" s="20">
        <v>107.64317949840006</v>
      </c>
      <c r="O8" s="20">
        <v>40.366192311899795</v>
      </c>
      <c r="P8" s="21">
        <v>80.732384623799589</v>
      </c>
      <c r="Q8" s="15">
        <f t="shared" si="0"/>
        <v>4830.4876799906997</v>
      </c>
      <c r="R8" s="20">
        <f t="shared" si="3"/>
        <v>40.366192311900001</v>
      </c>
      <c r="S8" s="20">
        <f t="shared" si="4"/>
        <v>282.56334618330004</v>
      </c>
      <c r="T8" s="12">
        <f t="shared" si="5"/>
        <v>282.56334618330004</v>
      </c>
      <c r="U8" s="20">
        <v>275.72401151940477</v>
      </c>
      <c r="V8" s="17">
        <f t="shared" si="1"/>
        <v>881.21689619790482</v>
      </c>
      <c r="W8" s="18">
        <f t="shared" si="2"/>
        <v>3949.2707837927946</v>
      </c>
    </row>
    <row r="9" spans="2:23" x14ac:dyDescent="0.25">
      <c r="B9" s="8">
        <v>77788</v>
      </c>
      <c r="C9" s="9" t="s">
        <v>37</v>
      </c>
      <c r="D9" s="10">
        <v>4</v>
      </c>
      <c r="E9" s="11">
        <v>9610.9981694999988</v>
      </c>
      <c r="F9" s="11">
        <v>19221.996338999998</v>
      </c>
      <c r="G9" s="11">
        <v>4036.6192311899999</v>
      </c>
      <c r="H9" s="11">
        <v>9812.8291310594977</v>
      </c>
      <c r="I9" s="13">
        <v>107.64317949840006</v>
      </c>
      <c r="J9" s="20">
        <v>134.55397437300053</v>
      </c>
      <c r="K9" s="12">
        <v>80.732384623799589</v>
      </c>
      <c r="L9" s="13">
        <v>107.64317949840006</v>
      </c>
      <c r="M9" s="20">
        <v>134.55397437300053</v>
      </c>
      <c r="N9" s="20">
        <v>107.64317949840006</v>
      </c>
      <c r="O9" s="20">
        <v>40.366192311899795</v>
      </c>
      <c r="P9" s="21">
        <v>80.732384623799589</v>
      </c>
      <c r="Q9" s="15">
        <f t="shared" si="0"/>
        <v>4830.4876799906997</v>
      </c>
      <c r="R9" s="20">
        <f t="shared" si="3"/>
        <v>40.366192311900001</v>
      </c>
      <c r="S9" s="20">
        <f t="shared" si="4"/>
        <v>282.56334618330004</v>
      </c>
      <c r="T9" s="12">
        <f t="shared" si="5"/>
        <v>282.56334618330004</v>
      </c>
      <c r="U9" s="20">
        <v>275.72401151940477</v>
      </c>
      <c r="V9" s="17">
        <f t="shared" si="1"/>
        <v>881.21689619790482</v>
      </c>
      <c r="W9" s="18">
        <f t="shared" si="2"/>
        <v>3949.2707837927946</v>
      </c>
    </row>
    <row r="10" spans="2:23" x14ac:dyDescent="0.25">
      <c r="B10" s="8">
        <v>77811</v>
      </c>
      <c r="C10" s="9" t="s">
        <v>39</v>
      </c>
      <c r="D10" s="10">
        <v>2</v>
      </c>
      <c r="E10" s="11">
        <v>8024.8779607499991</v>
      </c>
      <c r="F10" s="11">
        <v>16049.755921499998</v>
      </c>
      <c r="G10" s="11">
        <v>3370.4487435149995</v>
      </c>
      <c r="H10" s="11">
        <v>8193.4003979257486</v>
      </c>
      <c r="I10" s="13">
        <v>89.878633160400568</v>
      </c>
      <c r="J10" s="20">
        <v>112.34829145050026</v>
      </c>
      <c r="K10" s="12">
        <v>67.408974870300881</v>
      </c>
      <c r="L10" s="13">
        <v>89.878633160400568</v>
      </c>
      <c r="M10" s="20">
        <v>112.34829145050026</v>
      </c>
      <c r="N10" s="20">
        <v>89.878633160400568</v>
      </c>
      <c r="O10" s="20">
        <v>33.70448743515044</v>
      </c>
      <c r="P10" s="21">
        <v>67.408974870300881</v>
      </c>
      <c r="Q10" s="15">
        <f t="shared" si="0"/>
        <v>4033.3036630729539</v>
      </c>
      <c r="R10" s="20">
        <f t="shared" si="3"/>
        <v>33.704487435149993</v>
      </c>
      <c r="S10" s="20">
        <f t="shared" si="4"/>
        <v>235.93141204604999</v>
      </c>
      <c r="T10" s="12">
        <f t="shared" si="5"/>
        <v>235.93141204604999</v>
      </c>
      <c r="U10" s="20">
        <v>224.70423443666903</v>
      </c>
      <c r="V10" s="17">
        <f t="shared" si="1"/>
        <v>730.27154596391904</v>
      </c>
      <c r="W10" s="18">
        <f t="shared" si="2"/>
        <v>3303.032117109035</v>
      </c>
    </row>
    <row r="11" spans="2:23" ht="22.5" x14ac:dyDescent="0.25">
      <c r="B11" s="8">
        <v>57999</v>
      </c>
      <c r="C11" s="9" t="s">
        <v>41</v>
      </c>
      <c r="D11" s="10">
        <v>1</v>
      </c>
      <c r="E11" s="11">
        <v>7531.9769857499987</v>
      </c>
      <c r="F11" s="11">
        <v>15063.953971499997</v>
      </c>
      <c r="G11" s="11">
        <v>3163.4303340149995</v>
      </c>
      <c r="H11" s="11">
        <v>7690.1485024507483</v>
      </c>
      <c r="I11" s="13">
        <v>84.358142240399502</v>
      </c>
      <c r="J11" s="20">
        <v>105.44767780049915</v>
      </c>
      <c r="K11" s="12">
        <v>63.268606680299399</v>
      </c>
      <c r="L11" s="13">
        <v>84.358142240399502</v>
      </c>
      <c r="M11" s="20">
        <v>105.44767780049915</v>
      </c>
      <c r="N11" s="20">
        <v>84.358142240399502</v>
      </c>
      <c r="O11" s="20">
        <v>31.6343033401497</v>
      </c>
      <c r="P11" s="21">
        <v>63.268606680299399</v>
      </c>
      <c r="Q11" s="15">
        <f t="shared" si="0"/>
        <v>3785.5716330379446</v>
      </c>
      <c r="R11" s="20"/>
      <c r="S11" s="20">
        <f t="shared" si="4"/>
        <v>221.44012338105</v>
      </c>
      <c r="T11" s="12">
        <f t="shared" si="5"/>
        <v>221.44012338105</v>
      </c>
      <c r="U11" s="20">
        <v>208.84938451442849</v>
      </c>
      <c r="V11" s="17">
        <f t="shared" si="1"/>
        <v>651.72963127652849</v>
      </c>
      <c r="W11" s="18">
        <f t="shared" si="2"/>
        <v>3133.8420017614162</v>
      </c>
    </row>
    <row r="12" spans="2:23" ht="15.75" thickBot="1" x14ac:dyDescent="0.3">
      <c r="B12" s="35" t="s">
        <v>46</v>
      </c>
      <c r="C12" s="36"/>
      <c r="D12" s="37"/>
      <c r="E12" s="38">
        <f t="shared" ref="E12:W12" si="6">SUM(E4:E11)</f>
        <v>86995.425381536203</v>
      </c>
      <c r="F12" s="38">
        <f t="shared" si="6"/>
        <v>173990.85076307241</v>
      </c>
      <c r="G12" s="38">
        <f t="shared" si="6"/>
        <v>35618.372864775214</v>
      </c>
      <c r="H12" s="38">
        <f t="shared" si="6"/>
        <v>88822.329314548449</v>
      </c>
      <c r="I12" s="38">
        <f t="shared" si="6"/>
        <v>974.34876427320341</v>
      </c>
      <c r="J12" s="38">
        <f t="shared" si="6"/>
        <v>1217.9359553415043</v>
      </c>
      <c r="K12" s="38">
        <f t="shared" si="6"/>
        <v>730.7615732049012</v>
      </c>
      <c r="L12" s="38">
        <f t="shared" si="6"/>
        <v>966.68454931095403</v>
      </c>
      <c r="M12" s="38">
        <f t="shared" si="6"/>
        <v>1217.9359553415043</v>
      </c>
      <c r="N12" s="38">
        <f t="shared" si="6"/>
        <v>966.68454931095403</v>
      </c>
      <c r="O12" s="38">
        <f t="shared" si="6"/>
        <v>365.3807866024506</v>
      </c>
      <c r="P12" s="38">
        <f t="shared" si="6"/>
        <v>726.92946572377741</v>
      </c>
      <c r="Q12" s="38">
        <f t="shared" si="6"/>
        <v>42785.034463884454</v>
      </c>
      <c r="R12" s="38">
        <f>SUM(R4:R11)</f>
        <v>259.76711519955001</v>
      </c>
      <c r="S12" s="38">
        <f t="shared" si="6"/>
        <v>2493.2861005342647</v>
      </c>
      <c r="T12" s="38">
        <f t="shared" si="6"/>
        <v>2573.7761005342645</v>
      </c>
      <c r="U12" s="38">
        <f t="shared" si="6"/>
        <v>2611.7118995125334</v>
      </c>
      <c r="V12" s="38">
        <f t="shared" si="6"/>
        <v>7938.5412157806131</v>
      </c>
      <c r="W12" s="38">
        <f t="shared" si="6"/>
        <v>34846.493248103849</v>
      </c>
    </row>
    <row r="13" spans="2:23" x14ac:dyDescent="0.25"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29" spans="2:3" x14ac:dyDescent="0.25">
      <c r="B29" t="s">
        <v>87</v>
      </c>
      <c r="C29" t="s">
        <v>91</v>
      </c>
    </row>
    <row r="30" spans="2:3" x14ac:dyDescent="0.25">
      <c r="B30" t="s">
        <v>88</v>
      </c>
      <c r="C30" t="s">
        <v>92</v>
      </c>
    </row>
    <row r="31" spans="2:3" x14ac:dyDescent="0.25">
      <c r="B31" t="s">
        <v>89</v>
      </c>
      <c r="C31" t="s">
        <v>93</v>
      </c>
    </row>
    <row r="32" spans="2:3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"/>
  <sheetViews>
    <sheetView workbookViewId="0">
      <selection activeCell="C3" sqref="C3:AB24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10.140625" customWidth="1"/>
    <col min="7" max="7" width="8.85546875" customWidth="1"/>
    <col min="8" max="8" width="9.7109375" customWidth="1"/>
    <col min="9" max="9" width="9" customWidth="1"/>
    <col min="10" max="11" width="8.85546875" customWidth="1"/>
    <col min="12" max="14" width="8.7109375" customWidth="1"/>
    <col min="15" max="15" width="9.28515625" bestFit="1" customWidth="1"/>
    <col min="16" max="16" width="12.5703125" bestFit="1" customWidth="1"/>
    <col min="17" max="17" width="7.42578125" customWidth="1"/>
    <col min="18" max="19" width="8.7109375" bestFit="1" customWidth="1"/>
    <col min="20" max="20" width="9" customWidth="1"/>
    <col min="21" max="21" width="9.5703125" customWidth="1"/>
    <col min="22" max="22" width="7.85546875" customWidth="1"/>
    <col min="23" max="24" width="8.5703125" customWidth="1"/>
    <col min="25" max="26" width="10.140625" customWidth="1"/>
    <col min="27" max="27" width="9.5703125" customWidth="1"/>
    <col min="28" max="28" width="12.5703125" bestFit="1" customWidth="1"/>
  </cols>
  <sheetData>
    <row r="1" spans="2:28" ht="19.5" thickBot="1" x14ac:dyDescent="0.3">
      <c r="E1" s="1"/>
      <c r="F1" s="2" t="s">
        <v>57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8" ht="48.75" customHeight="1" x14ac:dyDescent="0.25">
      <c r="B2" s="47"/>
      <c r="C2" s="47" t="s">
        <v>1</v>
      </c>
      <c r="D2" s="4" t="s">
        <v>2</v>
      </c>
      <c r="E2" s="47" t="s">
        <v>3</v>
      </c>
      <c r="F2" s="47" t="s">
        <v>4</v>
      </c>
      <c r="G2" s="47" t="s">
        <v>5</v>
      </c>
      <c r="H2" s="47" t="s">
        <v>7</v>
      </c>
      <c r="I2" s="47" t="s">
        <v>8</v>
      </c>
      <c r="J2" s="47" t="s">
        <v>9</v>
      </c>
      <c r="K2" s="47" t="s">
        <v>10</v>
      </c>
      <c r="L2" s="47" t="s">
        <v>11</v>
      </c>
      <c r="M2" s="47" t="s">
        <v>12</v>
      </c>
      <c r="N2" s="47" t="s">
        <v>13</v>
      </c>
      <c r="O2" s="47" t="s">
        <v>58</v>
      </c>
      <c r="P2" s="48" t="s">
        <v>96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6" t="s">
        <v>20</v>
      </c>
      <c r="W2" s="6" t="s">
        <v>21</v>
      </c>
      <c r="X2" s="7" t="s">
        <v>22</v>
      </c>
      <c r="Y2" s="49" t="s">
        <v>83</v>
      </c>
      <c r="Z2" s="49" t="s">
        <v>84</v>
      </c>
      <c r="AA2" s="49" t="s">
        <v>85</v>
      </c>
      <c r="AB2" s="50" t="s">
        <v>86</v>
      </c>
    </row>
    <row r="3" spans="2:28" x14ac:dyDescent="0.25">
      <c r="B3" s="8" t="s">
        <v>87</v>
      </c>
      <c r="C3" s="9" t="s">
        <v>23</v>
      </c>
      <c r="D3" s="10">
        <v>17</v>
      </c>
      <c r="E3" s="11">
        <v>19286.689999999999</v>
      </c>
      <c r="F3" s="13">
        <v>200</v>
      </c>
      <c r="G3" s="12"/>
      <c r="H3" s="13"/>
      <c r="I3" s="12"/>
      <c r="J3" s="12"/>
      <c r="K3" s="12"/>
      <c r="L3" s="12"/>
      <c r="M3" s="12"/>
      <c r="N3" s="14"/>
      <c r="O3" s="13"/>
      <c r="P3" s="15">
        <f>SUM(E3:O3)</f>
        <v>19486.689999999999</v>
      </c>
      <c r="Q3" s="12"/>
      <c r="R3" s="12"/>
      <c r="S3" s="12"/>
      <c r="T3" s="12">
        <f t="shared" ref="T3:T21" si="0">(E3*0.07)</f>
        <v>1350.0683000000001</v>
      </c>
      <c r="U3" s="12">
        <v>3388.3970879999997</v>
      </c>
      <c r="V3" s="16"/>
      <c r="W3" s="17"/>
      <c r="X3" s="17"/>
      <c r="Y3" s="17"/>
      <c r="Z3" s="17"/>
      <c r="AA3" s="17">
        <f>SUM(Q3:Z3)</f>
        <v>4738.4653879999996</v>
      </c>
      <c r="AB3" s="18">
        <f>+P3-AA3</f>
        <v>14748.224611999998</v>
      </c>
    </row>
    <row r="4" spans="2:28" x14ac:dyDescent="0.25">
      <c r="B4" s="8" t="s">
        <v>87</v>
      </c>
      <c r="C4" s="9" t="s">
        <v>24</v>
      </c>
      <c r="D4" s="10">
        <v>14</v>
      </c>
      <c r="E4" s="11">
        <v>14917.51</v>
      </c>
      <c r="F4" s="13">
        <v>200</v>
      </c>
      <c r="G4" s="20"/>
      <c r="H4" s="13"/>
      <c r="I4" s="20"/>
      <c r="J4" s="20"/>
      <c r="K4" s="20"/>
      <c r="L4" s="20"/>
      <c r="M4" s="20"/>
      <c r="N4" s="21"/>
      <c r="O4" s="13"/>
      <c r="P4" s="15">
        <f t="shared" ref="P4:P24" si="1">SUM(E4:O4)</f>
        <v>15117.51</v>
      </c>
      <c r="Q4" s="20"/>
      <c r="R4" s="20"/>
      <c r="S4" s="20"/>
      <c r="T4" s="12">
        <f t="shared" si="0"/>
        <v>1044.2257000000002</v>
      </c>
      <c r="U4" s="20">
        <v>2373.7416400000002</v>
      </c>
      <c r="V4" s="22"/>
      <c r="W4" s="23"/>
      <c r="X4" s="23"/>
      <c r="Y4" s="23"/>
      <c r="Z4" s="23"/>
      <c r="AA4" s="17">
        <f t="shared" ref="AA4:AA23" si="2">SUM(Q4:Z4)</f>
        <v>3417.9673400000001</v>
      </c>
      <c r="AB4" s="18">
        <f t="shared" ref="AB4:AB24" si="3">+P4-AA4</f>
        <v>11699.542659999999</v>
      </c>
    </row>
    <row r="5" spans="2:28" x14ac:dyDescent="0.25">
      <c r="B5" s="8" t="s">
        <v>87</v>
      </c>
      <c r="C5" s="9" t="s">
        <v>25</v>
      </c>
      <c r="D5" s="10">
        <v>14</v>
      </c>
      <c r="E5" s="11">
        <v>14917.51</v>
      </c>
      <c r="F5" s="13">
        <v>200</v>
      </c>
      <c r="G5" s="20"/>
      <c r="H5" s="13"/>
      <c r="I5" s="20"/>
      <c r="J5" s="20"/>
      <c r="K5" s="20"/>
      <c r="L5" s="20"/>
      <c r="M5" s="20"/>
      <c r="N5" s="21"/>
      <c r="O5" s="13"/>
      <c r="P5" s="15">
        <f t="shared" si="1"/>
        <v>15117.51</v>
      </c>
      <c r="Q5" s="20"/>
      <c r="R5" s="20"/>
      <c r="S5" s="20"/>
      <c r="T5" s="12">
        <f t="shared" si="0"/>
        <v>1044.2257000000002</v>
      </c>
      <c r="U5" s="20">
        <v>2373.7416400000002</v>
      </c>
      <c r="V5" s="22"/>
      <c r="W5" s="23"/>
      <c r="X5" s="23"/>
      <c r="Y5" s="23"/>
      <c r="Z5" s="23"/>
      <c r="AA5" s="17">
        <f t="shared" si="2"/>
        <v>3417.9673400000001</v>
      </c>
      <c r="AB5" s="18">
        <f t="shared" si="3"/>
        <v>11699.542659999999</v>
      </c>
    </row>
    <row r="6" spans="2:28" x14ac:dyDescent="0.25">
      <c r="B6" s="8" t="s">
        <v>88</v>
      </c>
      <c r="C6" s="9" t="s">
        <v>26</v>
      </c>
      <c r="D6" s="10">
        <v>13</v>
      </c>
      <c r="E6" s="11">
        <f>(15022.1/15)*13</f>
        <v>13019.153333333334</v>
      </c>
      <c r="F6" s="13">
        <f>(900/30)*13</f>
        <v>390</v>
      </c>
      <c r="G6" s="13">
        <f>(900/30)*13</f>
        <v>390</v>
      </c>
      <c r="H6" s="13">
        <f>(900/30)*13</f>
        <v>390</v>
      </c>
      <c r="I6" s="13">
        <f>(3000/30)*13</f>
        <v>1300</v>
      </c>
      <c r="J6" s="20">
        <f>(3341.8/30)*13</f>
        <v>1448.1133333333335</v>
      </c>
      <c r="K6" s="20">
        <f>(733/30)*13</f>
        <v>317.63333333333333</v>
      </c>
      <c r="L6" s="13"/>
      <c r="M6" s="20"/>
      <c r="N6" s="21">
        <v>2002.95</v>
      </c>
      <c r="O6" s="13"/>
      <c r="P6" s="15">
        <f t="shared" si="1"/>
        <v>19257.850000000002</v>
      </c>
      <c r="Q6" s="20"/>
      <c r="R6" s="20"/>
      <c r="S6" s="20"/>
      <c r="T6" s="12">
        <f t="shared" si="0"/>
        <v>911.34073333333345</v>
      </c>
      <c r="U6" s="20">
        <v>2488.2294600000005</v>
      </c>
      <c r="V6" s="22"/>
      <c r="W6" s="23"/>
      <c r="X6" s="23"/>
      <c r="Y6" s="23"/>
      <c r="Z6" s="23"/>
      <c r="AA6" s="17">
        <f t="shared" si="2"/>
        <v>3399.5701933333339</v>
      </c>
      <c r="AB6" s="18">
        <f t="shared" si="3"/>
        <v>15858.279806666669</v>
      </c>
    </row>
    <row r="7" spans="2:28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13">
        <v>900</v>
      </c>
      <c r="G7" s="13">
        <v>900</v>
      </c>
      <c r="H7" s="13">
        <v>900</v>
      </c>
      <c r="I7" s="13">
        <v>3000</v>
      </c>
      <c r="J7" s="20">
        <v>3341.8</v>
      </c>
      <c r="K7" s="20">
        <v>733</v>
      </c>
      <c r="L7" s="13"/>
      <c r="M7" s="20"/>
      <c r="N7" s="21">
        <f t="shared" ref="N7:N13" si="4">(E7/15)*2</f>
        <v>2002.9466666666667</v>
      </c>
      <c r="O7" s="13"/>
      <c r="P7" s="15">
        <f t="shared" si="1"/>
        <v>26799.846666666665</v>
      </c>
      <c r="Q7" s="20"/>
      <c r="R7" s="20"/>
      <c r="S7" s="20"/>
      <c r="T7" s="12">
        <f t="shared" si="0"/>
        <v>1051.547</v>
      </c>
      <c r="U7" s="20">
        <v>3429.3885280000004</v>
      </c>
      <c r="V7" s="22"/>
      <c r="W7" s="23"/>
      <c r="X7" s="23"/>
      <c r="Y7" s="23"/>
      <c r="Z7" s="23"/>
      <c r="AA7" s="17">
        <f t="shared" si="2"/>
        <v>4480.935528</v>
      </c>
      <c r="AB7" s="18">
        <f t="shared" si="3"/>
        <v>22318.911138666663</v>
      </c>
    </row>
    <row r="8" spans="2:28" ht="15" customHeight="1" x14ac:dyDescent="0.25">
      <c r="B8" s="8" t="s">
        <v>88</v>
      </c>
      <c r="C8" s="9" t="s">
        <v>28</v>
      </c>
      <c r="D8" s="10">
        <v>13</v>
      </c>
      <c r="E8" s="11">
        <v>15022.1</v>
      </c>
      <c r="F8" s="13">
        <v>900</v>
      </c>
      <c r="G8" s="13">
        <v>900</v>
      </c>
      <c r="H8" s="13">
        <v>900</v>
      </c>
      <c r="I8" s="13">
        <v>3000</v>
      </c>
      <c r="J8" s="20">
        <v>3341.8</v>
      </c>
      <c r="K8" s="20">
        <v>733</v>
      </c>
      <c r="L8" s="13"/>
      <c r="M8" s="20"/>
      <c r="N8" s="21">
        <f t="shared" si="4"/>
        <v>2002.9466666666667</v>
      </c>
      <c r="O8" s="13"/>
      <c r="P8" s="15">
        <f t="shared" si="1"/>
        <v>26799.846666666665</v>
      </c>
      <c r="Q8" s="20"/>
      <c r="R8" s="20"/>
      <c r="S8" s="20"/>
      <c r="T8" s="12">
        <f t="shared" si="0"/>
        <v>1051.547</v>
      </c>
      <c r="U8" s="20">
        <v>3429.3885280000004</v>
      </c>
      <c r="V8" s="22"/>
      <c r="W8" s="23"/>
      <c r="X8" s="23"/>
      <c r="Y8" s="23"/>
      <c r="Z8" s="23"/>
      <c r="AA8" s="17">
        <f t="shared" si="2"/>
        <v>4480.935528</v>
      </c>
      <c r="AB8" s="18">
        <f t="shared" si="3"/>
        <v>22318.911138666663</v>
      </c>
    </row>
    <row r="9" spans="2:28" ht="15" customHeight="1" x14ac:dyDescent="0.25">
      <c r="B9" s="8" t="s">
        <v>88</v>
      </c>
      <c r="C9" s="9" t="s">
        <v>29</v>
      </c>
      <c r="D9" s="10">
        <v>9</v>
      </c>
      <c r="E9" s="11">
        <v>11333.03</v>
      </c>
      <c r="F9" s="13">
        <v>900</v>
      </c>
      <c r="G9" s="13">
        <v>900</v>
      </c>
      <c r="H9" s="13">
        <v>900</v>
      </c>
      <c r="I9" s="13">
        <v>1050</v>
      </c>
      <c r="J9" s="20">
        <v>1803.2</v>
      </c>
      <c r="K9" s="20">
        <v>675</v>
      </c>
      <c r="L9" s="13"/>
      <c r="M9" s="20"/>
      <c r="N9" s="21">
        <f t="shared" si="4"/>
        <v>1511.0706666666667</v>
      </c>
      <c r="O9" s="13"/>
      <c r="P9" s="15">
        <f t="shared" si="1"/>
        <v>19072.300666666666</v>
      </c>
      <c r="Q9" s="20"/>
      <c r="R9" s="20"/>
      <c r="S9" s="20"/>
      <c r="T9" s="12">
        <f t="shared" si="0"/>
        <v>793.3121000000001</v>
      </c>
      <c r="U9" s="20">
        <v>2124.9308192000003</v>
      </c>
      <c r="V9" s="22"/>
      <c r="W9" s="23"/>
      <c r="X9" s="23"/>
      <c r="Y9" s="23"/>
      <c r="Z9" s="23"/>
      <c r="AA9" s="17">
        <f t="shared" si="2"/>
        <v>2918.2429192000004</v>
      </c>
      <c r="AB9" s="18">
        <f t="shared" si="3"/>
        <v>16154.057747466666</v>
      </c>
    </row>
    <row r="10" spans="2:28" ht="15" customHeight="1" x14ac:dyDescent="0.25">
      <c r="B10" s="8" t="s">
        <v>89</v>
      </c>
      <c r="C10" s="9" t="s">
        <v>30</v>
      </c>
      <c r="D10" s="10">
        <v>10</v>
      </c>
      <c r="E10" s="11">
        <v>15424.35954953621</v>
      </c>
      <c r="F10" s="13">
        <v>1100</v>
      </c>
      <c r="G10" s="13">
        <v>1133</v>
      </c>
      <c r="H10" s="13">
        <v>1140</v>
      </c>
      <c r="I10" s="13">
        <v>1150</v>
      </c>
      <c r="J10" s="20">
        <v>1934.8</v>
      </c>
      <c r="K10" s="20">
        <v>787</v>
      </c>
      <c r="L10" s="13"/>
      <c r="M10" s="20">
        <v>945</v>
      </c>
      <c r="N10" s="21">
        <f t="shared" si="4"/>
        <v>2056.5812732714944</v>
      </c>
      <c r="O10" s="13">
        <f t="shared" ref="O10:O21" si="5">(E10/15)*4</f>
        <v>4113.1625465429888</v>
      </c>
      <c r="P10" s="15">
        <f t="shared" si="1"/>
        <v>29783.903369350694</v>
      </c>
      <c r="Q10" s="20"/>
      <c r="R10" s="20"/>
      <c r="S10" s="20">
        <f t="shared" ref="S10:S21" si="6">(E10*0.07)</f>
        <v>1079.7051684675348</v>
      </c>
      <c r="T10" s="12">
        <f t="shared" si="0"/>
        <v>1079.7051684675348</v>
      </c>
      <c r="U10" s="20">
        <v>3748.4745192610999</v>
      </c>
      <c r="V10" s="22"/>
      <c r="W10" s="23"/>
      <c r="X10" s="23"/>
      <c r="Y10" s="23"/>
      <c r="Z10" s="23"/>
      <c r="AA10" s="17">
        <f t="shared" si="2"/>
        <v>5907.8848561961695</v>
      </c>
      <c r="AB10" s="18">
        <f t="shared" si="3"/>
        <v>23876.018513154522</v>
      </c>
    </row>
    <row r="11" spans="2:28" ht="15" customHeight="1" x14ac:dyDescent="0.25">
      <c r="B11" s="8" t="s">
        <v>89</v>
      </c>
      <c r="C11" s="9" t="s">
        <v>31</v>
      </c>
      <c r="D11" s="10">
        <v>8</v>
      </c>
      <c r="E11" s="11">
        <v>13360.854858749999</v>
      </c>
      <c r="F11" s="13">
        <v>1100</v>
      </c>
      <c r="G11" s="13">
        <v>1133</v>
      </c>
      <c r="H11" s="13">
        <v>1140</v>
      </c>
      <c r="I11" s="13">
        <v>1000</v>
      </c>
      <c r="J11" s="12">
        <v>1677.2</v>
      </c>
      <c r="K11" s="12">
        <f>662+100</f>
        <v>762</v>
      </c>
      <c r="L11" s="13">
        <f>225</f>
        <v>225</v>
      </c>
      <c r="M11" s="13">
        <v>838</v>
      </c>
      <c r="N11" s="21">
        <f t="shared" si="4"/>
        <v>1781.4473144999999</v>
      </c>
      <c r="O11" s="13">
        <f t="shared" si="5"/>
        <v>3562.8946289999999</v>
      </c>
      <c r="P11" s="15">
        <f t="shared" si="1"/>
        <v>26580.396802249998</v>
      </c>
      <c r="Q11" s="20">
        <f t="shared" ref="Q11:Q20" si="7">(E11*0.01)</f>
        <v>133.6085485875</v>
      </c>
      <c r="R11" s="20">
        <f>1000</f>
        <v>1000</v>
      </c>
      <c r="S11" s="20">
        <f t="shared" si="6"/>
        <v>935.2598401125</v>
      </c>
      <c r="T11" s="12">
        <f t="shared" si="0"/>
        <v>935.2598401125</v>
      </c>
      <c r="U11" s="20">
        <v>3155.5339953336002</v>
      </c>
      <c r="V11" s="22"/>
      <c r="W11" s="23"/>
      <c r="X11" s="23"/>
      <c r="Y11" s="23">
        <f>966.64</f>
        <v>966.64</v>
      </c>
      <c r="Z11" s="23"/>
      <c r="AA11" s="17">
        <f t="shared" si="2"/>
        <v>7126.3022241461013</v>
      </c>
      <c r="AB11" s="18">
        <f t="shared" si="3"/>
        <v>19454.094578103897</v>
      </c>
    </row>
    <row r="12" spans="2:28" ht="22.5" x14ac:dyDescent="0.25">
      <c r="B12" s="8" t="s">
        <v>89</v>
      </c>
      <c r="C12" s="25" t="s">
        <v>32</v>
      </c>
      <c r="D12" s="26">
        <v>7</v>
      </c>
      <c r="E12" s="11">
        <v>12482.481170250001</v>
      </c>
      <c r="F12" s="13">
        <v>1100</v>
      </c>
      <c r="G12" s="13">
        <v>1133</v>
      </c>
      <c r="H12" s="13">
        <v>1140</v>
      </c>
      <c r="I12" s="13"/>
      <c r="J12" s="12">
        <v>1565.2</v>
      </c>
      <c r="K12" s="12">
        <f>651+100</f>
        <v>751</v>
      </c>
      <c r="L12" s="20">
        <v>325</v>
      </c>
      <c r="M12" s="20">
        <v>793</v>
      </c>
      <c r="N12" s="21">
        <f t="shared" si="4"/>
        <v>1664.3308227000002</v>
      </c>
      <c r="O12" s="13">
        <f t="shared" si="5"/>
        <v>3328.6616454000005</v>
      </c>
      <c r="P12" s="15">
        <f t="shared" si="1"/>
        <v>24282.673638350003</v>
      </c>
      <c r="Q12" s="20">
        <f t="shared" si="7"/>
        <v>124.82481170250001</v>
      </c>
      <c r="R12" s="20"/>
      <c r="S12" s="20">
        <f t="shared" si="6"/>
        <v>873.7736819175002</v>
      </c>
      <c r="T12" s="12">
        <f t="shared" si="0"/>
        <v>873.7736819175002</v>
      </c>
      <c r="U12" s="20">
        <v>2793.7850054913606</v>
      </c>
      <c r="V12" s="23"/>
      <c r="W12" s="22"/>
      <c r="X12" s="22"/>
      <c r="Y12" s="22"/>
      <c r="Z12" s="22"/>
      <c r="AA12" s="17">
        <f t="shared" si="2"/>
        <v>4666.1571810288606</v>
      </c>
      <c r="AB12" s="18">
        <f t="shared" si="3"/>
        <v>19616.516457321144</v>
      </c>
    </row>
    <row r="13" spans="2:28" x14ac:dyDescent="0.25">
      <c r="B13" s="8" t="s">
        <v>89</v>
      </c>
      <c r="C13" s="25" t="s">
        <v>33</v>
      </c>
      <c r="D13" s="26">
        <v>7</v>
      </c>
      <c r="E13" s="11">
        <v>12482.481170250001</v>
      </c>
      <c r="F13" s="13">
        <v>1100</v>
      </c>
      <c r="G13" s="13">
        <v>1133</v>
      </c>
      <c r="H13" s="13">
        <v>1140</v>
      </c>
      <c r="I13" s="13"/>
      <c r="J13" s="12">
        <v>1565.2</v>
      </c>
      <c r="K13" s="12">
        <f>651+100</f>
        <v>751</v>
      </c>
      <c r="L13" s="20"/>
      <c r="M13" s="20">
        <v>793</v>
      </c>
      <c r="N13" s="21">
        <f t="shared" si="4"/>
        <v>1664.3308227000002</v>
      </c>
      <c r="O13" s="13">
        <f t="shared" si="5"/>
        <v>3328.6616454000005</v>
      </c>
      <c r="P13" s="15">
        <f t="shared" si="1"/>
        <v>23957.673638350003</v>
      </c>
      <c r="Q13" s="20">
        <f t="shared" si="7"/>
        <v>124.82481170250001</v>
      </c>
      <c r="R13" s="20"/>
      <c r="S13" s="20">
        <f t="shared" si="6"/>
        <v>873.7736819175002</v>
      </c>
      <c r="T13" s="12">
        <f t="shared" si="0"/>
        <v>873.7736819175002</v>
      </c>
      <c r="U13" s="20">
        <v>2717.3450054913606</v>
      </c>
      <c r="V13" s="22"/>
      <c r="W13" s="23"/>
      <c r="X13" s="22"/>
      <c r="Y13" s="22"/>
      <c r="Z13" s="22"/>
      <c r="AA13" s="17">
        <f t="shared" si="2"/>
        <v>4589.717181028861</v>
      </c>
      <c r="AB13" s="18">
        <f t="shared" si="3"/>
        <v>19367.956457321143</v>
      </c>
    </row>
    <row r="14" spans="2:28" x14ac:dyDescent="0.25">
      <c r="B14" s="8" t="s">
        <v>89</v>
      </c>
      <c r="C14" s="9" t="s">
        <v>34</v>
      </c>
      <c r="D14" s="10">
        <v>5</v>
      </c>
      <c r="E14" s="11">
        <v>10948.878517500001</v>
      </c>
      <c r="F14" s="13">
        <v>1100</v>
      </c>
      <c r="G14" s="13">
        <v>1133</v>
      </c>
      <c r="H14" s="13">
        <v>1140</v>
      </c>
      <c r="I14" s="13"/>
      <c r="J14" s="13">
        <v>1241.8</v>
      </c>
      <c r="K14" s="13">
        <f>632+100</f>
        <v>732</v>
      </c>
      <c r="L14" s="20">
        <f>525</f>
        <v>525</v>
      </c>
      <c r="M14" s="20">
        <v>713</v>
      </c>
      <c r="N14" s="21"/>
      <c r="O14" s="13">
        <f t="shared" si="5"/>
        <v>2919.7009380000004</v>
      </c>
      <c r="P14" s="15">
        <f t="shared" si="1"/>
        <v>20453.379455500002</v>
      </c>
      <c r="Q14" s="20">
        <f t="shared" si="7"/>
        <v>109.48878517500002</v>
      </c>
      <c r="R14" s="20"/>
      <c r="S14" s="20">
        <f t="shared" si="6"/>
        <v>766.42149622500017</v>
      </c>
      <c r="T14" s="12">
        <f t="shared" si="0"/>
        <v>766.42149622500017</v>
      </c>
      <c r="U14" s="20">
        <v>2215.5962555164006</v>
      </c>
      <c r="V14" s="22">
        <f>2583</f>
        <v>2583</v>
      </c>
      <c r="W14" s="23"/>
      <c r="X14" s="23"/>
      <c r="Y14" s="23"/>
      <c r="Z14" s="23"/>
      <c r="AA14" s="17">
        <f t="shared" si="2"/>
        <v>6440.9280331414011</v>
      </c>
      <c r="AB14" s="18">
        <f t="shared" si="3"/>
        <v>14012.451422358601</v>
      </c>
    </row>
    <row r="15" spans="2:28" x14ac:dyDescent="0.25">
      <c r="B15" s="8" t="s">
        <v>89</v>
      </c>
      <c r="C15" s="9" t="s">
        <v>35</v>
      </c>
      <c r="D15" s="10">
        <v>5</v>
      </c>
      <c r="E15" s="11">
        <v>10948.878517500001</v>
      </c>
      <c r="F15" s="13">
        <v>1100</v>
      </c>
      <c r="G15" s="13">
        <v>1133</v>
      </c>
      <c r="H15" s="13">
        <v>1140</v>
      </c>
      <c r="I15" s="13"/>
      <c r="J15" s="13">
        <v>1241.8</v>
      </c>
      <c r="K15" s="13">
        <f>632+100</f>
        <v>732</v>
      </c>
      <c r="L15" s="13">
        <v>150</v>
      </c>
      <c r="M15" s="20">
        <v>713</v>
      </c>
      <c r="N15" s="21">
        <f t="shared" ref="N15:N21" si="8">(E15/15)*2</f>
        <v>1459.8504690000002</v>
      </c>
      <c r="O15" s="13">
        <f t="shared" si="5"/>
        <v>2919.7009380000004</v>
      </c>
      <c r="P15" s="15">
        <f t="shared" si="1"/>
        <v>21538.229924500003</v>
      </c>
      <c r="Q15" s="20">
        <f t="shared" si="7"/>
        <v>109.48878517500002</v>
      </c>
      <c r="R15" s="20">
        <f>500</f>
        <v>500</v>
      </c>
      <c r="S15" s="20">
        <f t="shared" si="6"/>
        <v>766.42149622500017</v>
      </c>
      <c r="T15" s="12">
        <f t="shared" si="0"/>
        <v>766.42149622500017</v>
      </c>
      <c r="U15" s="20">
        <v>2291.4082856056007</v>
      </c>
      <c r="V15" s="22"/>
      <c r="W15" s="23"/>
      <c r="X15" s="23"/>
      <c r="Y15" s="23"/>
      <c r="Z15" s="23"/>
      <c r="AA15" s="17">
        <f t="shared" si="2"/>
        <v>4433.7400632306017</v>
      </c>
      <c r="AB15" s="18">
        <f t="shared" si="3"/>
        <v>17104.489861269401</v>
      </c>
    </row>
    <row r="16" spans="2:28" x14ac:dyDescent="0.25">
      <c r="B16" s="8" t="s">
        <v>89</v>
      </c>
      <c r="C16" s="9" t="s">
        <v>36</v>
      </c>
      <c r="D16" s="10">
        <v>4</v>
      </c>
      <c r="E16" s="11">
        <v>9610.9981694999988</v>
      </c>
      <c r="F16" s="13">
        <v>1100</v>
      </c>
      <c r="G16" s="13">
        <v>1133</v>
      </c>
      <c r="H16" s="13">
        <v>1140</v>
      </c>
      <c r="I16" s="13"/>
      <c r="J16" s="13">
        <v>845.6</v>
      </c>
      <c r="K16" s="13">
        <f>615+100</f>
        <v>715</v>
      </c>
      <c r="L16" s="13">
        <v>150</v>
      </c>
      <c r="M16" s="20">
        <v>644</v>
      </c>
      <c r="N16" s="21">
        <f t="shared" si="8"/>
        <v>1281.4664225999998</v>
      </c>
      <c r="O16" s="13">
        <f t="shared" si="5"/>
        <v>2562.9328451999995</v>
      </c>
      <c r="P16" s="15">
        <f t="shared" si="1"/>
        <v>19182.9974373</v>
      </c>
      <c r="Q16" s="20">
        <f t="shared" si="7"/>
        <v>96.109981694999988</v>
      </c>
      <c r="R16" s="20"/>
      <c r="S16" s="20">
        <f t="shared" si="6"/>
        <v>672.76987186500003</v>
      </c>
      <c r="T16" s="12">
        <f t="shared" si="0"/>
        <v>672.76987186500003</v>
      </c>
      <c r="U16" s="20">
        <v>1896.9838348062399</v>
      </c>
      <c r="V16" s="22"/>
      <c r="W16" s="23"/>
      <c r="X16" s="23"/>
      <c r="Y16" s="23"/>
      <c r="Z16" s="23"/>
      <c r="AA16" s="17">
        <f t="shared" si="2"/>
        <v>3338.6335602312402</v>
      </c>
      <c r="AB16" s="18">
        <f t="shared" si="3"/>
        <v>15844.363877068761</v>
      </c>
    </row>
    <row r="17" spans="2:28" x14ac:dyDescent="0.25">
      <c r="B17" s="8" t="s">
        <v>89</v>
      </c>
      <c r="C17" s="9" t="s">
        <v>37</v>
      </c>
      <c r="D17" s="10">
        <v>4</v>
      </c>
      <c r="E17" s="11">
        <v>9610.9981694999988</v>
      </c>
      <c r="F17" s="13">
        <v>1100</v>
      </c>
      <c r="G17" s="13">
        <v>1133</v>
      </c>
      <c r="H17" s="13">
        <v>1140</v>
      </c>
      <c r="I17" s="13"/>
      <c r="J17" s="13">
        <v>845.6</v>
      </c>
      <c r="K17" s="13">
        <f>615+100</f>
        <v>715</v>
      </c>
      <c r="L17" s="13">
        <v>150</v>
      </c>
      <c r="M17" s="20">
        <v>644</v>
      </c>
      <c r="N17" s="21">
        <f t="shared" si="8"/>
        <v>1281.4664225999998</v>
      </c>
      <c r="O17" s="13">
        <f t="shared" si="5"/>
        <v>2562.9328451999995</v>
      </c>
      <c r="P17" s="15">
        <f t="shared" si="1"/>
        <v>19182.9974373</v>
      </c>
      <c r="Q17" s="20">
        <f t="shared" si="7"/>
        <v>96.109981694999988</v>
      </c>
      <c r="R17" s="20">
        <f>500</f>
        <v>500</v>
      </c>
      <c r="S17" s="20">
        <f t="shared" si="6"/>
        <v>672.76987186500003</v>
      </c>
      <c r="T17" s="12">
        <f t="shared" si="0"/>
        <v>672.76987186500003</v>
      </c>
      <c r="U17" s="20">
        <v>1896.9838348062399</v>
      </c>
      <c r="V17" s="22"/>
      <c r="W17" s="23"/>
      <c r="X17" s="23"/>
      <c r="Y17" s="23"/>
      <c r="Z17" s="23"/>
      <c r="AA17" s="17">
        <f t="shared" si="2"/>
        <v>3838.6335602312397</v>
      </c>
      <c r="AB17" s="18">
        <f t="shared" si="3"/>
        <v>15344.363877068761</v>
      </c>
    </row>
    <row r="18" spans="2:28" x14ac:dyDescent="0.25">
      <c r="B18" s="8" t="s">
        <v>89</v>
      </c>
      <c r="C18" s="9" t="s">
        <v>38</v>
      </c>
      <c r="D18" s="10">
        <v>2</v>
      </c>
      <c r="E18" s="11">
        <v>8024.8779607499991</v>
      </c>
      <c r="F18" s="13">
        <v>1100</v>
      </c>
      <c r="G18" s="13">
        <v>1133</v>
      </c>
      <c r="H18" s="13">
        <v>1140</v>
      </c>
      <c r="I18" s="13"/>
      <c r="J18" s="13">
        <v>704.2</v>
      </c>
      <c r="K18" s="13">
        <f>595+100</f>
        <v>695</v>
      </c>
      <c r="L18" s="13">
        <v>150</v>
      </c>
      <c r="M18" s="20">
        <v>561</v>
      </c>
      <c r="N18" s="21">
        <f t="shared" si="8"/>
        <v>1069.9837280999998</v>
      </c>
      <c r="O18" s="13">
        <f t="shared" si="5"/>
        <v>2139.9674561999996</v>
      </c>
      <c r="P18" s="15">
        <f t="shared" si="1"/>
        <v>16718.029145050001</v>
      </c>
      <c r="Q18" s="20">
        <f t="shared" si="7"/>
        <v>80.248779607499998</v>
      </c>
      <c r="R18" s="20">
        <f>1000</f>
        <v>1000</v>
      </c>
      <c r="S18" s="20">
        <f t="shared" si="6"/>
        <v>561.74145725250003</v>
      </c>
      <c r="T18" s="12">
        <f t="shared" si="0"/>
        <v>561.74145725250003</v>
      </c>
      <c r="U18" s="20">
        <v>1464.3275828994397</v>
      </c>
      <c r="V18" s="22"/>
      <c r="W18" s="23"/>
      <c r="X18" s="23"/>
      <c r="Y18" s="23"/>
      <c r="Z18" s="23"/>
      <c r="AA18" s="17">
        <f t="shared" si="2"/>
        <v>3668.0592770119397</v>
      </c>
      <c r="AB18" s="18">
        <f t="shared" si="3"/>
        <v>13049.969868038061</v>
      </c>
    </row>
    <row r="19" spans="2:28" x14ac:dyDescent="0.25">
      <c r="B19" s="8" t="s">
        <v>89</v>
      </c>
      <c r="C19" s="9" t="s">
        <v>39</v>
      </c>
      <c r="D19" s="10">
        <v>2</v>
      </c>
      <c r="E19" s="11">
        <v>8024.8779607499991</v>
      </c>
      <c r="F19" s="13">
        <v>1100</v>
      </c>
      <c r="G19" s="13">
        <v>1133</v>
      </c>
      <c r="H19" s="13">
        <v>1140</v>
      </c>
      <c r="I19" s="13"/>
      <c r="J19" s="13">
        <v>704.2</v>
      </c>
      <c r="K19" s="13">
        <f>595+100</f>
        <v>695</v>
      </c>
      <c r="L19" s="13">
        <v>150</v>
      </c>
      <c r="M19" s="20">
        <v>561</v>
      </c>
      <c r="N19" s="21">
        <f t="shared" si="8"/>
        <v>1069.9837280999998</v>
      </c>
      <c r="O19" s="13">
        <f t="shared" si="5"/>
        <v>2139.9674561999996</v>
      </c>
      <c r="P19" s="15">
        <f t="shared" si="1"/>
        <v>16718.029145050001</v>
      </c>
      <c r="Q19" s="20">
        <f t="shared" si="7"/>
        <v>80.248779607499998</v>
      </c>
      <c r="R19" s="20">
        <f>500</f>
        <v>500</v>
      </c>
      <c r="S19" s="20">
        <f t="shared" si="6"/>
        <v>561.74145725250003</v>
      </c>
      <c r="T19" s="12">
        <f t="shared" si="0"/>
        <v>561.74145725250003</v>
      </c>
      <c r="U19" s="20">
        <v>1464.3275828994397</v>
      </c>
      <c r="V19" s="22"/>
      <c r="W19" s="23"/>
      <c r="X19" s="23"/>
      <c r="Y19" s="23">
        <f>966.64</f>
        <v>966.64</v>
      </c>
      <c r="Z19" s="23">
        <f>1933.28</f>
        <v>1933.28</v>
      </c>
      <c r="AA19" s="17">
        <f t="shared" si="2"/>
        <v>6067.9792770119393</v>
      </c>
      <c r="AB19" s="18">
        <f t="shared" si="3"/>
        <v>10650.049868038062</v>
      </c>
    </row>
    <row r="20" spans="2:28" ht="22.5" x14ac:dyDescent="0.25">
      <c r="B20" s="8" t="s">
        <v>89</v>
      </c>
      <c r="C20" s="9" t="s">
        <v>40</v>
      </c>
      <c r="D20" s="10"/>
      <c r="E20" s="11">
        <f>(7531.97698575/15)*12</f>
        <v>6025.5815886</v>
      </c>
      <c r="F20" s="13">
        <f>(1100/30)*12</f>
        <v>440</v>
      </c>
      <c r="G20" s="13">
        <f>(1133/30)*12</f>
        <v>453.2</v>
      </c>
      <c r="H20" s="13">
        <f>(1140/30)*12</f>
        <v>456</v>
      </c>
      <c r="I20" s="13"/>
      <c r="J20" s="13">
        <f>(658/30)*12</f>
        <v>263.2</v>
      </c>
      <c r="K20" s="13">
        <f>((589+100)/30)*12</f>
        <v>275.59999999999997</v>
      </c>
      <c r="L20" s="13">
        <v>150</v>
      </c>
      <c r="M20" s="20">
        <f>(536/30)*12</f>
        <v>214.4</v>
      </c>
      <c r="N20" s="21">
        <v>1004.26</v>
      </c>
      <c r="O20" s="13">
        <v>2008.53</v>
      </c>
      <c r="P20" s="15">
        <f t="shared" si="1"/>
        <v>11290.771588600001</v>
      </c>
      <c r="Q20" s="20">
        <f t="shared" si="7"/>
        <v>60.255815886000001</v>
      </c>
      <c r="R20" s="20">
        <v>1000</v>
      </c>
      <c r="S20" s="20">
        <f t="shared" si="6"/>
        <v>421.79071120200007</v>
      </c>
      <c r="T20" s="12">
        <f t="shared" si="0"/>
        <v>421.79071120200007</v>
      </c>
      <c r="U20" s="20">
        <v>887.31346332496025</v>
      </c>
      <c r="V20" s="22"/>
      <c r="W20" s="23"/>
      <c r="X20" s="23"/>
      <c r="Y20" s="23"/>
      <c r="Z20" s="23"/>
      <c r="AA20" s="17">
        <f t="shared" si="2"/>
        <v>2791.1507016149603</v>
      </c>
      <c r="AB20" s="18">
        <f t="shared" si="3"/>
        <v>8499.6208869850398</v>
      </c>
    </row>
    <row r="21" spans="2:28" ht="22.5" x14ac:dyDescent="0.25">
      <c r="B21" s="8" t="s">
        <v>89</v>
      </c>
      <c r="C21" s="9" t="s">
        <v>41</v>
      </c>
      <c r="D21" s="10">
        <v>1</v>
      </c>
      <c r="E21" s="11">
        <v>7531.9769857499987</v>
      </c>
      <c r="F21" s="13">
        <v>1100</v>
      </c>
      <c r="G21" s="13">
        <v>1133</v>
      </c>
      <c r="H21" s="13">
        <v>1140</v>
      </c>
      <c r="I21" s="13"/>
      <c r="J21" s="13">
        <v>658</v>
      </c>
      <c r="K21" s="13">
        <f>589+100</f>
        <v>689</v>
      </c>
      <c r="L21" s="13"/>
      <c r="M21" s="20">
        <v>536</v>
      </c>
      <c r="N21" s="21">
        <f t="shared" si="8"/>
        <v>1004.2635980999999</v>
      </c>
      <c r="O21" s="13">
        <f t="shared" si="5"/>
        <v>2008.5271961999997</v>
      </c>
      <c r="P21" s="15">
        <f t="shared" si="1"/>
        <v>15800.767780049999</v>
      </c>
      <c r="Q21" s="20"/>
      <c r="R21" s="20"/>
      <c r="S21" s="20">
        <f t="shared" si="6"/>
        <v>527.23838900249996</v>
      </c>
      <c r="T21" s="12">
        <f t="shared" si="0"/>
        <v>527.23838900249996</v>
      </c>
      <c r="U21" s="20">
        <v>1297.7022449874398</v>
      </c>
      <c r="V21" s="22"/>
      <c r="W21" s="23"/>
      <c r="X21" s="23"/>
      <c r="Y21" s="23"/>
      <c r="Z21" s="23"/>
      <c r="AA21" s="17">
        <f t="shared" si="2"/>
        <v>2352.17902299244</v>
      </c>
      <c r="AB21" s="18">
        <f t="shared" si="3"/>
        <v>13448.588757057558</v>
      </c>
    </row>
    <row r="22" spans="2:28" ht="22.5" x14ac:dyDescent="0.25">
      <c r="B22" s="8" t="s">
        <v>90</v>
      </c>
      <c r="C22" s="9" t="s">
        <v>42</v>
      </c>
      <c r="D22" s="10"/>
      <c r="E22" s="11">
        <v>6069.96</v>
      </c>
      <c r="F22" s="27"/>
      <c r="G22" s="27"/>
      <c r="H22" s="27"/>
      <c r="I22" s="27"/>
      <c r="J22" s="28"/>
      <c r="K22" s="28"/>
      <c r="L22" s="27"/>
      <c r="M22" s="28"/>
      <c r="N22" s="29"/>
      <c r="O22" s="30"/>
      <c r="P22" s="15">
        <f t="shared" si="1"/>
        <v>6069.96</v>
      </c>
      <c r="Q22" s="20"/>
      <c r="R22" s="28"/>
      <c r="S22" s="28"/>
      <c r="T22" s="12"/>
      <c r="U22" s="20">
        <v>527.76699999999994</v>
      </c>
      <c r="V22" s="22"/>
      <c r="W22" s="23"/>
      <c r="X22" s="23"/>
      <c r="Y22" s="23"/>
      <c r="Z22" s="23"/>
      <c r="AA22" s="17">
        <f t="shared" si="2"/>
        <v>527.76699999999994</v>
      </c>
      <c r="AB22" s="18">
        <f t="shared" si="3"/>
        <v>5542.1930000000002</v>
      </c>
    </row>
    <row r="23" spans="2:28" x14ac:dyDescent="0.25">
      <c r="B23" s="8" t="s">
        <v>90</v>
      </c>
      <c r="C23" s="25" t="s">
        <v>43</v>
      </c>
      <c r="D23" s="31"/>
      <c r="E23" s="32">
        <v>3018.5</v>
      </c>
      <c r="F23" s="27"/>
      <c r="G23" s="27"/>
      <c r="H23" s="27"/>
      <c r="I23" s="27"/>
      <c r="J23" s="28"/>
      <c r="K23" s="28"/>
      <c r="L23" s="27"/>
      <c r="M23" s="28"/>
      <c r="N23" s="28"/>
      <c r="O23" s="30"/>
      <c r="P23" s="15">
        <f t="shared" si="1"/>
        <v>3018.5</v>
      </c>
      <c r="Q23" s="20"/>
      <c r="R23" s="28"/>
      <c r="S23" s="28"/>
      <c r="T23" s="12"/>
      <c r="U23" s="20">
        <v>176.47039999999998</v>
      </c>
      <c r="V23" s="22"/>
      <c r="W23" s="23"/>
      <c r="X23" s="23"/>
      <c r="Y23" s="23"/>
      <c r="Z23" s="23"/>
      <c r="AA23" s="17">
        <f t="shared" si="2"/>
        <v>176.47039999999998</v>
      </c>
      <c r="AB23" s="18">
        <f t="shared" si="3"/>
        <v>2842.0295999999998</v>
      </c>
    </row>
    <row r="24" spans="2:28" x14ac:dyDescent="0.25">
      <c r="B24" s="8" t="s">
        <v>44</v>
      </c>
      <c r="C24" s="25" t="s">
        <v>45</v>
      </c>
      <c r="D24" s="31"/>
      <c r="E24" s="32">
        <f>24876/2</f>
        <v>12438</v>
      </c>
      <c r="F24" s="27"/>
      <c r="G24" s="27"/>
      <c r="H24" s="27"/>
      <c r="I24" s="27"/>
      <c r="J24" s="28"/>
      <c r="K24" s="28"/>
      <c r="L24" s="27"/>
      <c r="M24" s="28"/>
      <c r="N24" s="28"/>
      <c r="O24" s="30"/>
      <c r="P24" s="15">
        <f t="shared" si="1"/>
        <v>12438</v>
      </c>
      <c r="Q24" s="28"/>
      <c r="R24" s="28"/>
      <c r="S24" s="28"/>
      <c r="T24" s="32"/>
      <c r="U24" s="28">
        <v>1936</v>
      </c>
      <c r="V24" s="33"/>
      <c r="W24" s="34"/>
      <c r="X24" s="34"/>
      <c r="Y24" s="34"/>
      <c r="Z24" s="34"/>
      <c r="AA24" s="17">
        <f t="shared" ref="AA24" si="9">SUM(Q24:Z24)</f>
        <v>1936</v>
      </c>
      <c r="AB24" s="18">
        <f t="shared" si="3"/>
        <v>10502</v>
      </c>
    </row>
    <row r="25" spans="2:28" ht="15.75" thickBot="1" x14ac:dyDescent="0.3">
      <c r="B25" s="35" t="s">
        <v>46</v>
      </c>
      <c r="C25" s="36"/>
      <c r="D25" s="37"/>
      <c r="E25" s="38">
        <f t="shared" ref="E25:Q25" si="10">SUM(E3:E24)</f>
        <v>249521.79795196955</v>
      </c>
      <c r="F25" s="38">
        <f t="shared" si="10"/>
        <v>16230</v>
      </c>
      <c r="G25" s="38">
        <f t="shared" si="10"/>
        <v>16006.2</v>
      </c>
      <c r="H25" s="38">
        <f t="shared" si="10"/>
        <v>16086</v>
      </c>
      <c r="I25" s="38">
        <f t="shared" si="10"/>
        <v>10500</v>
      </c>
      <c r="J25" s="38">
        <f t="shared" si="10"/>
        <v>23181.713333333333</v>
      </c>
      <c r="K25" s="38">
        <f t="shared" si="10"/>
        <v>10758.233333333334</v>
      </c>
      <c r="L25" s="38">
        <f t="shared" si="10"/>
        <v>1975</v>
      </c>
      <c r="M25" s="38">
        <f t="shared" si="10"/>
        <v>7955.4</v>
      </c>
      <c r="N25" s="38">
        <f t="shared" si="10"/>
        <v>22857.878601671488</v>
      </c>
      <c r="O25" s="38">
        <f t="shared" si="10"/>
        <v>33595.640141342992</v>
      </c>
      <c r="P25" s="38">
        <f t="shared" si="10"/>
        <v>408667.86336165067</v>
      </c>
      <c r="Q25" s="38">
        <f t="shared" si="10"/>
        <v>1015.2090808335</v>
      </c>
      <c r="R25" s="38">
        <f t="shared" ref="R25:Z25" si="11">SUM(R3:R24)</f>
        <v>4500</v>
      </c>
      <c r="S25" s="38">
        <f t="shared" si="11"/>
        <v>8713.4071233045361</v>
      </c>
      <c r="T25" s="38">
        <f t="shared" si="11"/>
        <v>15959.673656637871</v>
      </c>
      <c r="U25" s="38">
        <f>SUM(U3:U24)</f>
        <v>48077.836713623168</v>
      </c>
      <c r="V25" s="38">
        <f t="shared" si="11"/>
        <v>2583</v>
      </c>
      <c r="W25" s="38">
        <f t="shared" si="11"/>
        <v>0</v>
      </c>
      <c r="X25" s="38">
        <f t="shared" si="11"/>
        <v>0</v>
      </c>
      <c r="Y25" s="38">
        <f t="shared" si="11"/>
        <v>1933.28</v>
      </c>
      <c r="Z25" s="38">
        <f t="shared" si="11"/>
        <v>1933.28</v>
      </c>
      <c r="AA25" s="38">
        <f>SUM(AA3:AA24)</f>
        <v>84715.686574399093</v>
      </c>
      <c r="AB25" s="38">
        <f>SUM(AB3:AB24)</f>
        <v>323952.17678725166</v>
      </c>
    </row>
    <row r="26" spans="2:28" x14ac:dyDescent="0.25"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</row>
    <row r="27" spans="2:28" x14ac:dyDescent="0.25">
      <c r="B27" s="42"/>
      <c r="E27" s="40"/>
    </row>
    <row r="28" spans="2:28" x14ac:dyDescent="0.25">
      <c r="B28" s="42"/>
      <c r="E28" s="40"/>
    </row>
    <row r="29" spans="2:28" x14ac:dyDescent="0.25">
      <c r="B29" t="s">
        <v>87</v>
      </c>
      <c r="C29" t="s">
        <v>91</v>
      </c>
      <c r="E29" s="40"/>
    </row>
    <row r="30" spans="2:28" x14ac:dyDescent="0.25">
      <c r="B30" t="s">
        <v>88</v>
      </c>
      <c r="C30" t="s">
        <v>92</v>
      </c>
      <c r="E30" s="40"/>
    </row>
    <row r="31" spans="2:28" x14ac:dyDescent="0.25">
      <c r="B31" t="s">
        <v>89</v>
      </c>
      <c r="C31" t="s">
        <v>93</v>
      </c>
    </row>
    <row r="32" spans="2:28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" right="0.70866141732283472" top="0" bottom="0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3"/>
  <sheetViews>
    <sheetView workbookViewId="0">
      <selection activeCell="C4" sqref="C4:AC23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9.28515625" bestFit="1" customWidth="1"/>
    <col min="7" max="14" width="8.7109375" customWidth="1"/>
    <col min="15" max="15" width="9.5703125" bestFit="1" customWidth="1"/>
    <col min="16" max="16" width="9.5703125" customWidth="1"/>
    <col min="17" max="17" width="12.5703125" bestFit="1" customWidth="1"/>
    <col min="18" max="18" width="7.42578125" customWidth="1"/>
    <col min="19" max="20" width="8.7109375" bestFit="1" customWidth="1"/>
    <col min="21" max="21" width="9" customWidth="1"/>
    <col min="22" max="22" width="9.5703125" customWidth="1"/>
    <col min="23" max="23" width="7.85546875" customWidth="1"/>
    <col min="24" max="25" width="8.5703125" customWidth="1"/>
    <col min="26" max="27" width="10.140625" customWidth="1"/>
    <col min="28" max="28" width="9.5703125" customWidth="1"/>
    <col min="29" max="29" width="12.5703125" bestFit="1" customWidth="1"/>
    <col min="30" max="30" width="14.140625" bestFit="1" customWidth="1"/>
  </cols>
  <sheetData>
    <row r="1" spans="2:29" ht="18.75" x14ac:dyDescent="0.25">
      <c r="E1" s="1"/>
      <c r="F1" s="2" t="s">
        <v>60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29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29" ht="48.75" customHeight="1" x14ac:dyDescent="0.25">
      <c r="B3" s="47"/>
      <c r="C3" s="47" t="s">
        <v>1</v>
      </c>
      <c r="D3" s="4" t="s">
        <v>2</v>
      </c>
      <c r="E3" s="47" t="s">
        <v>3</v>
      </c>
      <c r="F3" s="47" t="s">
        <v>47</v>
      </c>
      <c r="G3" s="47" t="s">
        <v>48</v>
      </c>
      <c r="H3" s="47" t="s">
        <v>49</v>
      </c>
      <c r="I3" s="47" t="s">
        <v>50</v>
      </c>
      <c r="J3" s="47" t="s">
        <v>51</v>
      </c>
      <c r="K3" s="47" t="s">
        <v>52</v>
      </c>
      <c r="L3" s="47" t="s">
        <v>11</v>
      </c>
      <c r="M3" s="47" t="s">
        <v>53</v>
      </c>
      <c r="N3" s="47" t="s">
        <v>54</v>
      </c>
      <c r="O3" s="47" t="s">
        <v>55</v>
      </c>
      <c r="P3" s="47" t="s">
        <v>59</v>
      </c>
      <c r="Q3" s="48" t="s">
        <v>96</v>
      </c>
      <c r="R3" s="5" t="s">
        <v>15</v>
      </c>
      <c r="S3" s="5" t="s">
        <v>16</v>
      </c>
      <c r="T3" s="5" t="s">
        <v>17</v>
      </c>
      <c r="U3" s="5" t="s">
        <v>18</v>
      </c>
      <c r="V3" s="5" t="s">
        <v>19</v>
      </c>
      <c r="W3" s="6" t="s">
        <v>20</v>
      </c>
      <c r="X3" s="6" t="s">
        <v>21</v>
      </c>
      <c r="Y3" s="7" t="s">
        <v>22</v>
      </c>
      <c r="Z3" s="49" t="s">
        <v>83</v>
      </c>
      <c r="AA3" s="49" t="s">
        <v>84</v>
      </c>
      <c r="AB3" s="49" t="s">
        <v>85</v>
      </c>
      <c r="AC3" s="50" t="s">
        <v>86</v>
      </c>
    </row>
    <row r="4" spans="2:29" x14ac:dyDescent="0.25">
      <c r="B4" s="8" t="s">
        <v>87</v>
      </c>
      <c r="C4" s="9" t="s">
        <v>23</v>
      </c>
      <c r="D4" s="10">
        <v>17</v>
      </c>
      <c r="E4" s="11">
        <v>19286.689999999999</v>
      </c>
      <c r="F4" s="13"/>
      <c r="G4" s="12">
        <v>300</v>
      </c>
      <c r="H4" s="13"/>
      <c r="I4" s="12"/>
      <c r="J4" s="12"/>
      <c r="K4" s="12"/>
      <c r="L4" s="12"/>
      <c r="M4" s="12"/>
      <c r="N4" s="12"/>
      <c r="O4" s="21">
        <f t="shared" ref="O4:O6" si="0">(E4/15)*10</f>
        <v>12857.793333333331</v>
      </c>
      <c r="P4" s="21"/>
      <c r="Q4" s="15">
        <f>SUM(E4:P4)</f>
        <v>32444.48333333333</v>
      </c>
      <c r="R4" s="12"/>
      <c r="S4" s="12"/>
      <c r="T4" s="12"/>
      <c r="U4" s="12">
        <f>(E4*0.07)</f>
        <v>1350.0683000000001</v>
      </c>
      <c r="V4" s="12">
        <v>4993.1694999999982</v>
      </c>
      <c r="W4" s="16"/>
      <c r="X4" s="17"/>
      <c r="Y4" s="17"/>
      <c r="Z4" s="17"/>
      <c r="AA4" s="17"/>
      <c r="AB4" s="17">
        <f>SUM(R4:AA4)</f>
        <v>6343.2377999999981</v>
      </c>
      <c r="AC4" s="18">
        <f>+Q4-AB4</f>
        <v>26101.245533333331</v>
      </c>
    </row>
    <row r="5" spans="2:29" x14ac:dyDescent="0.25">
      <c r="B5" s="8" t="s">
        <v>87</v>
      </c>
      <c r="C5" s="9" t="s">
        <v>24</v>
      </c>
      <c r="D5" s="10">
        <v>14</v>
      </c>
      <c r="E5" s="11">
        <v>14917.51</v>
      </c>
      <c r="F5" s="13"/>
      <c r="G5" s="20">
        <v>300</v>
      </c>
      <c r="H5" s="13"/>
      <c r="I5" s="20"/>
      <c r="J5" s="20"/>
      <c r="K5" s="20"/>
      <c r="L5" s="20"/>
      <c r="M5" s="20"/>
      <c r="N5" s="20"/>
      <c r="O5" s="21">
        <f t="shared" si="0"/>
        <v>9945.0066666666662</v>
      </c>
      <c r="P5" s="21"/>
      <c r="Q5" s="15">
        <f t="shared" ref="Q5:Q23" si="1">SUM(E5:P5)</f>
        <v>25162.516666666666</v>
      </c>
      <c r="R5" s="20"/>
      <c r="S5" s="20"/>
      <c r="T5" s="20"/>
      <c r="U5" s="12">
        <f>(E5*0.07)</f>
        <v>1044.2257000000002</v>
      </c>
      <c r="V5" s="20">
        <v>3542.058736</v>
      </c>
      <c r="W5" s="22"/>
      <c r="X5" s="23"/>
      <c r="Y5" s="23"/>
      <c r="Z5" s="23"/>
      <c r="AA5" s="23"/>
      <c r="AB5" s="17">
        <f t="shared" ref="AB5:AB22" si="2">SUM(R5:AA5)</f>
        <v>4586.2844359999999</v>
      </c>
      <c r="AC5" s="18">
        <f t="shared" ref="AC5:AC23" si="3">+Q5-AB5</f>
        <v>20576.232230666668</v>
      </c>
    </row>
    <row r="6" spans="2:29" x14ac:dyDescent="0.25">
      <c r="B6" s="8" t="s">
        <v>87</v>
      </c>
      <c r="C6" s="9" t="s">
        <v>25</v>
      </c>
      <c r="D6" s="10">
        <v>14</v>
      </c>
      <c r="E6" s="11">
        <v>14917.51</v>
      </c>
      <c r="F6" s="13"/>
      <c r="G6" s="20">
        <v>300</v>
      </c>
      <c r="H6" s="13"/>
      <c r="I6" s="20"/>
      <c r="J6" s="20"/>
      <c r="K6" s="20"/>
      <c r="L6" s="20"/>
      <c r="M6" s="20"/>
      <c r="N6" s="20"/>
      <c r="O6" s="21">
        <f t="shared" si="0"/>
        <v>9945.0066666666662</v>
      </c>
      <c r="P6" s="21"/>
      <c r="Q6" s="15">
        <f t="shared" si="1"/>
        <v>25162.516666666666</v>
      </c>
      <c r="R6" s="20"/>
      <c r="S6" s="20"/>
      <c r="T6" s="20"/>
      <c r="U6" s="12">
        <f>(E6*0.07)</f>
        <v>1044.2257000000002</v>
      </c>
      <c r="V6" s="20">
        <v>3542.058736</v>
      </c>
      <c r="W6" s="22"/>
      <c r="X6" s="23"/>
      <c r="Y6" s="23"/>
      <c r="Z6" s="23"/>
      <c r="AA6" s="23"/>
      <c r="AB6" s="17">
        <f t="shared" si="2"/>
        <v>4586.2844359999999</v>
      </c>
      <c r="AC6" s="18">
        <f t="shared" si="3"/>
        <v>20576.232230666668</v>
      </c>
    </row>
    <row r="7" spans="2:29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43">
        <v>900</v>
      </c>
      <c r="G7" s="43">
        <v>900</v>
      </c>
      <c r="H7" s="43">
        <v>900</v>
      </c>
      <c r="I7" s="13">
        <v>1000</v>
      </c>
      <c r="J7" s="20"/>
      <c r="K7" s="20">
        <v>750</v>
      </c>
      <c r="L7" s="13"/>
      <c r="M7" s="20"/>
      <c r="N7" s="20"/>
      <c r="O7" s="21"/>
      <c r="P7" s="21">
        <f t="shared" ref="P7:P20" si="4">(E7/15)*3</f>
        <v>3004.42</v>
      </c>
      <c r="Q7" s="15">
        <f t="shared" si="1"/>
        <v>22476.519999999997</v>
      </c>
      <c r="R7" s="20"/>
      <c r="S7" s="20"/>
      <c r="T7" s="20"/>
      <c r="U7" s="12">
        <f t="shared" ref="U7:U20" si="5">(E7*0.07)</f>
        <v>1051.547</v>
      </c>
      <c r="V7" s="20">
        <v>3132.6453119999996</v>
      </c>
      <c r="W7" s="22"/>
      <c r="X7" s="23"/>
      <c r="Y7" s="23"/>
      <c r="Z7" s="23"/>
      <c r="AA7" s="23"/>
      <c r="AB7" s="17">
        <f t="shared" si="2"/>
        <v>4184.1923119999992</v>
      </c>
      <c r="AC7" s="18">
        <f t="shared" si="3"/>
        <v>18292.327687999998</v>
      </c>
    </row>
    <row r="8" spans="2:29" ht="15" customHeight="1" x14ac:dyDescent="0.25">
      <c r="B8" s="8" t="s">
        <v>88</v>
      </c>
      <c r="C8" s="9" t="s">
        <v>28</v>
      </c>
      <c r="D8" s="10">
        <v>13</v>
      </c>
      <c r="E8" s="11">
        <v>15022.1</v>
      </c>
      <c r="F8" s="43">
        <v>900</v>
      </c>
      <c r="G8" s="43">
        <v>900</v>
      </c>
      <c r="H8" s="43">
        <v>900</v>
      </c>
      <c r="I8" s="13">
        <v>1000</v>
      </c>
      <c r="J8" s="20"/>
      <c r="K8" s="20">
        <v>750</v>
      </c>
      <c r="L8" s="13"/>
      <c r="M8" s="20"/>
      <c r="N8" s="20"/>
      <c r="O8" s="21"/>
      <c r="P8" s="21">
        <f t="shared" si="4"/>
        <v>3004.42</v>
      </c>
      <c r="Q8" s="15">
        <f t="shared" si="1"/>
        <v>22476.519999999997</v>
      </c>
      <c r="R8" s="20"/>
      <c r="S8" s="20"/>
      <c r="T8" s="20"/>
      <c r="U8" s="12">
        <f t="shared" si="5"/>
        <v>1051.547</v>
      </c>
      <c r="V8" s="20">
        <v>3132.6453119999996</v>
      </c>
      <c r="W8" s="22"/>
      <c r="X8" s="23"/>
      <c r="Y8" s="23"/>
      <c r="Z8" s="23"/>
      <c r="AA8" s="23"/>
      <c r="AB8" s="17">
        <f t="shared" si="2"/>
        <v>4184.1923119999992</v>
      </c>
      <c r="AC8" s="18">
        <f t="shared" si="3"/>
        <v>18292.327687999998</v>
      </c>
    </row>
    <row r="9" spans="2:29" ht="15" customHeight="1" x14ac:dyDescent="0.25">
      <c r="B9" s="8" t="s">
        <v>88</v>
      </c>
      <c r="C9" s="9" t="s">
        <v>29</v>
      </c>
      <c r="D9" s="10">
        <v>9</v>
      </c>
      <c r="E9" s="11">
        <v>11333.03</v>
      </c>
      <c r="F9" s="43">
        <v>900</v>
      </c>
      <c r="G9" s="43">
        <v>900</v>
      </c>
      <c r="H9" s="43">
        <v>900</v>
      </c>
      <c r="I9" s="13">
        <v>1000</v>
      </c>
      <c r="J9" s="20"/>
      <c r="K9" s="20">
        <v>566</v>
      </c>
      <c r="L9" s="13"/>
      <c r="M9" s="20"/>
      <c r="N9" s="20"/>
      <c r="O9" s="21"/>
      <c r="P9" s="21">
        <f t="shared" si="4"/>
        <v>2266.6060000000002</v>
      </c>
      <c r="Q9" s="15">
        <f t="shared" si="1"/>
        <v>17865.636000000002</v>
      </c>
      <c r="R9" s="20"/>
      <c r="S9" s="20"/>
      <c r="T9" s="20"/>
      <c r="U9" s="12">
        <f t="shared" si="5"/>
        <v>793.3121000000001</v>
      </c>
      <c r="V9" s="20">
        <v>2188.2990328000001</v>
      </c>
      <c r="W9" s="22"/>
      <c r="X9" s="23"/>
      <c r="Y9" s="23"/>
      <c r="Z9" s="23"/>
      <c r="AA9" s="23"/>
      <c r="AB9" s="17">
        <f t="shared" si="2"/>
        <v>2981.6111328000002</v>
      </c>
      <c r="AC9" s="18">
        <f t="shared" si="3"/>
        <v>14884.024867200002</v>
      </c>
    </row>
    <row r="10" spans="2:29" ht="15" customHeight="1" x14ac:dyDescent="0.25">
      <c r="B10" s="8" t="s">
        <v>89</v>
      </c>
      <c r="C10" s="9" t="s">
        <v>30</v>
      </c>
      <c r="D10" s="10">
        <v>10</v>
      </c>
      <c r="E10" s="11">
        <v>15424.35954953621</v>
      </c>
      <c r="F10" s="13">
        <v>1133</v>
      </c>
      <c r="G10" s="13">
        <v>1133</v>
      </c>
      <c r="H10" s="13">
        <v>1133</v>
      </c>
      <c r="I10" s="13">
        <v>1000</v>
      </c>
      <c r="J10" s="20"/>
      <c r="K10" s="20">
        <v>606</v>
      </c>
      <c r="L10" s="13"/>
      <c r="M10" s="20">
        <v>999</v>
      </c>
      <c r="N10" s="20"/>
      <c r="O10" s="21"/>
      <c r="P10" s="21">
        <f t="shared" si="4"/>
        <v>3084.8719099072414</v>
      </c>
      <c r="Q10" s="15">
        <f t="shared" si="1"/>
        <v>24513.23145944345</v>
      </c>
      <c r="R10" s="20"/>
      <c r="S10" s="20"/>
      <c r="T10" s="20">
        <f t="shared" ref="T10:T20" si="6">(E10*0.07)</f>
        <v>1079.7051684675348</v>
      </c>
      <c r="U10" s="12">
        <f t="shared" si="5"/>
        <v>1079.7051684675348</v>
      </c>
      <c r="V10" s="20">
        <v>3392.0675026560079</v>
      </c>
      <c r="W10" s="22"/>
      <c r="X10" s="23"/>
      <c r="Y10" s="23"/>
      <c r="Z10" s="23"/>
      <c r="AA10" s="23"/>
      <c r="AB10" s="17">
        <f t="shared" si="2"/>
        <v>5551.477839591078</v>
      </c>
      <c r="AC10" s="18">
        <f t="shared" si="3"/>
        <v>18961.753619852374</v>
      </c>
    </row>
    <row r="11" spans="2:29" ht="15" customHeight="1" x14ac:dyDescent="0.25">
      <c r="B11" s="8" t="s">
        <v>89</v>
      </c>
      <c r="C11" s="9" t="s">
        <v>31</v>
      </c>
      <c r="D11" s="10">
        <v>8</v>
      </c>
      <c r="E11" s="11">
        <v>13360.854858749999</v>
      </c>
      <c r="F11" s="13">
        <v>1133</v>
      </c>
      <c r="G11" s="13">
        <v>1133</v>
      </c>
      <c r="H11" s="13">
        <v>1133</v>
      </c>
      <c r="I11" s="13">
        <v>1000</v>
      </c>
      <c r="J11" s="12"/>
      <c r="K11" s="20">
        <v>525</v>
      </c>
      <c r="L11" s="13">
        <f>225</f>
        <v>225</v>
      </c>
      <c r="M11" s="13">
        <v>925</v>
      </c>
      <c r="N11" s="13"/>
      <c r="O11" s="21"/>
      <c r="P11" s="21">
        <f t="shared" si="4"/>
        <v>2672.1709717499998</v>
      </c>
      <c r="Q11" s="15">
        <f t="shared" si="1"/>
        <v>22107.025830499995</v>
      </c>
      <c r="R11" s="20">
        <f t="shared" ref="R11:R19" si="7">(E11*0.01)</f>
        <v>133.6085485875</v>
      </c>
      <c r="S11" s="20">
        <f>1000</f>
        <v>1000</v>
      </c>
      <c r="T11" s="20">
        <f t="shared" si="6"/>
        <v>935.2598401125</v>
      </c>
      <c r="U11" s="12">
        <f t="shared" si="5"/>
        <v>935.2598401125</v>
      </c>
      <c r="V11" s="20">
        <v>2892.8895690557997</v>
      </c>
      <c r="W11" s="22"/>
      <c r="X11" s="23"/>
      <c r="Y11" s="23"/>
      <c r="Z11" s="23">
        <f>966.64</f>
        <v>966.64</v>
      </c>
      <c r="AA11" s="23"/>
      <c r="AB11" s="17">
        <f t="shared" si="2"/>
        <v>6863.6577978683008</v>
      </c>
      <c r="AC11" s="18">
        <f t="shared" si="3"/>
        <v>15243.368032631693</v>
      </c>
    </row>
    <row r="12" spans="2:29" ht="22.5" x14ac:dyDescent="0.25">
      <c r="B12" s="8" t="s">
        <v>89</v>
      </c>
      <c r="C12" s="25" t="s">
        <v>32</v>
      </c>
      <c r="D12" s="26">
        <v>7</v>
      </c>
      <c r="E12" s="11">
        <v>12482.481170250001</v>
      </c>
      <c r="F12" s="13">
        <v>1133</v>
      </c>
      <c r="G12" s="13">
        <v>1133</v>
      </c>
      <c r="H12" s="13">
        <v>1133</v>
      </c>
      <c r="I12" s="13">
        <v>1000</v>
      </c>
      <c r="J12" s="12">
        <v>295</v>
      </c>
      <c r="K12" s="20">
        <v>491</v>
      </c>
      <c r="L12" s="20">
        <v>325</v>
      </c>
      <c r="M12" s="20">
        <v>893</v>
      </c>
      <c r="N12" s="20"/>
      <c r="O12" s="21"/>
      <c r="P12" s="21">
        <f t="shared" si="4"/>
        <v>2496.4962340500006</v>
      </c>
      <c r="Q12" s="15">
        <f t="shared" si="1"/>
        <v>21381.9774043</v>
      </c>
      <c r="R12" s="20">
        <f t="shared" si="7"/>
        <v>124.82481170250001</v>
      </c>
      <c r="S12" s="20"/>
      <c r="T12" s="20">
        <f t="shared" si="6"/>
        <v>873.7736819175002</v>
      </c>
      <c r="U12" s="12">
        <f t="shared" si="5"/>
        <v>873.7736819175002</v>
      </c>
      <c r="V12" s="20">
        <v>2716.0871283670799</v>
      </c>
      <c r="W12" s="23"/>
      <c r="X12" s="22"/>
      <c r="Y12" s="22"/>
      <c r="Z12" s="22"/>
      <c r="AA12" s="22"/>
      <c r="AB12" s="17">
        <f t="shared" si="2"/>
        <v>4588.4593039045803</v>
      </c>
      <c r="AC12" s="18">
        <f t="shared" si="3"/>
        <v>16793.51810039542</v>
      </c>
    </row>
    <row r="13" spans="2:29" x14ac:dyDescent="0.25">
      <c r="B13" s="8" t="s">
        <v>89</v>
      </c>
      <c r="C13" s="25" t="s">
        <v>33</v>
      </c>
      <c r="D13" s="26">
        <v>7</v>
      </c>
      <c r="E13" s="11">
        <v>12482.481170250001</v>
      </c>
      <c r="F13" s="13">
        <v>1133</v>
      </c>
      <c r="G13" s="13">
        <v>1133</v>
      </c>
      <c r="H13" s="13">
        <v>1133</v>
      </c>
      <c r="I13" s="13">
        <v>1000</v>
      </c>
      <c r="J13" s="12">
        <v>295</v>
      </c>
      <c r="K13" s="20">
        <v>491</v>
      </c>
      <c r="L13" s="20"/>
      <c r="M13" s="20">
        <v>893</v>
      </c>
      <c r="N13" s="20">
        <v>800</v>
      </c>
      <c r="O13" s="21"/>
      <c r="P13" s="21">
        <f t="shared" si="4"/>
        <v>2496.4962340500006</v>
      </c>
      <c r="Q13" s="15">
        <f t="shared" si="1"/>
        <v>21856.9774043</v>
      </c>
      <c r="R13" s="20">
        <f t="shared" si="7"/>
        <v>124.82481170250001</v>
      </c>
      <c r="S13" s="20"/>
      <c r="T13" s="20">
        <f t="shared" si="6"/>
        <v>873.7736819175002</v>
      </c>
      <c r="U13" s="12">
        <f t="shared" si="5"/>
        <v>873.7736819175002</v>
      </c>
      <c r="V13" s="20">
        <v>2733.7271283670802</v>
      </c>
      <c r="W13" s="22"/>
      <c r="X13" s="23"/>
      <c r="Y13" s="22"/>
      <c r="Z13" s="22"/>
      <c r="AA13" s="22"/>
      <c r="AB13" s="17">
        <f t="shared" si="2"/>
        <v>4606.0993039045807</v>
      </c>
      <c r="AC13" s="18">
        <f t="shared" si="3"/>
        <v>17250.878100395421</v>
      </c>
    </row>
    <row r="14" spans="2:29" x14ac:dyDescent="0.25">
      <c r="B14" s="8" t="s">
        <v>89</v>
      </c>
      <c r="C14" s="9" t="s">
        <v>34</v>
      </c>
      <c r="D14" s="10">
        <v>5</v>
      </c>
      <c r="E14" s="11">
        <f>(10948.8785175/15)*4</f>
        <v>2919.700938</v>
      </c>
      <c r="F14" s="13">
        <f>(1133/30)*4</f>
        <v>151.06666666666666</v>
      </c>
      <c r="G14" s="13">
        <f>(1133/30)*4</f>
        <v>151.06666666666666</v>
      </c>
      <c r="H14" s="13">
        <f>(1133/30)*4</f>
        <v>151.06666666666666</v>
      </c>
      <c r="I14" s="13">
        <f>(1000/30)*4</f>
        <v>133.33333333333334</v>
      </c>
      <c r="J14" s="13">
        <f>(260/30)*4</f>
        <v>34.666666666666664</v>
      </c>
      <c r="K14" s="20"/>
      <c r="L14" s="20">
        <v>525</v>
      </c>
      <c r="M14" s="20">
        <f>(838/30)*4</f>
        <v>111.73333333333333</v>
      </c>
      <c r="N14" s="20"/>
      <c r="O14" s="21"/>
      <c r="P14" s="21">
        <v>2189.7800000000002</v>
      </c>
      <c r="Q14" s="15">
        <f t="shared" ref="Q14" si="8">SUM(E14:P14)</f>
        <v>6367.4142713333331</v>
      </c>
      <c r="R14" s="20">
        <f t="shared" si="7"/>
        <v>29.197009380000001</v>
      </c>
      <c r="S14" s="20"/>
      <c r="T14" s="20">
        <f t="shared" si="6"/>
        <v>204.37906566000001</v>
      </c>
      <c r="U14" s="12">
        <f t="shared" si="5"/>
        <v>204.37906566000001</v>
      </c>
      <c r="V14" s="20">
        <v>367.01197672106667</v>
      </c>
      <c r="W14" s="22">
        <f>2583</f>
        <v>2583</v>
      </c>
      <c r="X14" s="23"/>
      <c r="Y14" s="23"/>
      <c r="Z14" s="23"/>
      <c r="AA14" s="23"/>
      <c r="AB14" s="17">
        <f t="shared" si="2"/>
        <v>3387.9671174210666</v>
      </c>
      <c r="AC14" s="18">
        <f t="shared" si="3"/>
        <v>2979.4471539122665</v>
      </c>
    </row>
    <row r="15" spans="2:29" x14ac:dyDescent="0.25">
      <c r="B15" s="8" t="s">
        <v>89</v>
      </c>
      <c r="C15" s="9" t="s">
        <v>35</v>
      </c>
      <c r="D15" s="10">
        <v>5</v>
      </c>
      <c r="E15" s="11">
        <v>10948.878517500001</v>
      </c>
      <c r="F15" s="13">
        <v>1133</v>
      </c>
      <c r="G15" s="13">
        <v>1133</v>
      </c>
      <c r="H15" s="13">
        <v>1133</v>
      </c>
      <c r="I15" s="13">
        <v>1000</v>
      </c>
      <c r="J15" s="13">
        <v>260</v>
      </c>
      <c r="K15" s="20"/>
      <c r="L15" s="13">
        <v>150</v>
      </c>
      <c r="M15" s="20">
        <v>838</v>
      </c>
      <c r="N15" s="20"/>
      <c r="O15" s="21"/>
      <c r="P15" s="21">
        <f t="shared" si="4"/>
        <v>2189.7757035000004</v>
      </c>
      <c r="Q15" s="15">
        <f t="shared" si="1"/>
        <v>18785.654221000001</v>
      </c>
      <c r="R15" s="20">
        <f t="shared" si="7"/>
        <v>109.48878517500002</v>
      </c>
      <c r="S15" s="20">
        <f>500</f>
        <v>500</v>
      </c>
      <c r="T15" s="20">
        <f t="shared" si="6"/>
        <v>766.42149622500017</v>
      </c>
      <c r="U15" s="12">
        <f t="shared" si="5"/>
        <v>766.42149622500017</v>
      </c>
      <c r="V15" s="20">
        <v>2236.6652004718003</v>
      </c>
      <c r="W15" s="22"/>
      <c r="X15" s="23"/>
      <c r="Y15" s="23"/>
      <c r="Z15" s="23"/>
      <c r="AA15" s="23"/>
      <c r="AB15" s="17">
        <f t="shared" si="2"/>
        <v>4378.9969780968004</v>
      </c>
      <c r="AC15" s="18">
        <f t="shared" si="3"/>
        <v>14406.6572429032</v>
      </c>
    </row>
    <row r="16" spans="2:29" x14ac:dyDescent="0.25">
      <c r="B16" s="8" t="s">
        <v>89</v>
      </c>
      <c r="C16" s="9" t="s">
        <v>36</v>
      </c>
      <c r="D16" s="10">
        <v>4</v>
      </c>
      <c r="E16" s="11">
        <v>9610.9981694999988</v>
      </c>
      <c r="F16" s="13">
        <v>1133</v>
      </c>
      <c r="G16" s="13">
        <v>1133</v>
      </c>
      <c r="H16" s="13">
        <v>1133</v>
      </c>
      <c r="I16" s="13">
        <v>1000</v>
      </c>
      <c r="J16" s="13">
        <v>230</v>
      </c>
      <c r="K16" s="20"/>
      <c r="L16" s="13">
        <v>150</v>
      </c>
      <c r="M16" s="20">
        <v>790</v>
      </c>
      <c r="N16" s="20"/>
      <c r="O16" s="21"/>
      <c r="P16" s="21">
        <f t="shared" si="4"/>
        <v>1922.1996338999998</v>
      </c>
      <c r="Q16" s="15">
        <f t="shared" si="1"/>
        <v>17102.197803399999</v>
      </c>
      <c r="R16" s="20">
        <f t="shared" si="7"/>
        <v>96.109981694999988</v>
      </c>
      <c r="S16" s="20"/>
      <c r="T16" s="20">
        <f t="shared" si="6"/>
        <v>672.76987186500003</v>
      </c>
      <c r="U16" s="12">
        <f t="shared" si="5"/>
        <v>672.76987186500003</v>
      </c>
      <c r="V16" s="20">
        <v>1913.9864339057199</v>
      </c>
      <c r="W16" s="22"/>
      <c r="X16" s="23"/>
      <c r="Y16" s="23"/>
      <c r="Z16" s="23"/>
      <c r="AA16" s="23"/>
      <c r="AB16" s="17">
        <f t="shared" si="2"/>
        <v>3355.6361593307201</v>
      </c>
      <c r="AC16" s="18">
        <f t="shared" si="3"/>
        <v>13746.561644069279</v>
      </c>
    </row>
    <row r="17" spans="2:30" x14ac:dyDescent="0.25">
      <c r="B17" s="8" t="s">
        <v>89</v>
      </c>
      <c r="C17" s="9" t="s">
        <v>37</v>
      </c>
      <c r="D17" s="10">
        <v>4</v>
      </c>
      <c r="E17" s="11">
        <v>9610.9981694999988</v>
      </c>
      <c r="F17" s="13">
        <v>1133</v>
      </c>
      <c r="G17" s="13">
        <v>1133</v>
      </c>
      <c r="H17" s="13">
        <v>1133</v>
      </c>
      <c r="I17" s="13">
        <v>1000</v>
      </c>
      <c r="J17" s="13">
        <v>230</v>
      </c>
      <c r="K17" s="20"/>
      <c r="L17" s="13">
        <v>150</v>
      </c>
      <c r="M17" s="20">
        <v>790</v>
      </c>
      <c r="N17" s="20"/>
      <c r="O17" s="21"/>
      <c r="P17" s="21">
        <f t="shared" si="4"/>
        <v>1922.1996338999998</v>
      </c>
      <c r="Q17" s="15">
        <f t="shared" si="1"/>
        <v>17102.197803399999</v>
      </c>
      <c r="R17" s="20">
        <f t="shared" si="7"/>
        <v>96.109981694999988</v>
      </c>
      <c r="S17" s="20">
        <f>500</f>
        <v>500</v>
      </c>
      <c r="T17" s="20">
        <f t="shared" si="6"/>
        <v>672.76987186500003</v>
      </c>
      <c r="U17" s="12">
        <f t="shared" si="5"/>
        <v>672.76987186500003</v>
      </c>
      <c r="V17" s="20">
        <v>1913.9864339057199</v>
      </c>
      <c r="W17" s="22"/>
      <c r="X17" s="23"/>
      <c r="Y17" s="23"/>
      <c r="Z17" s="23"/>
      <c r="AA17" s="23"/>
      <c r="AB17" s="17">
        <f t="shared" si="2"/>
        <v>3855.6361593307197</v>
      </c>
      <c r="AC17" s="18">
        <f t="shared" si="3"/>
        <v>13246.561644069279</v>
      </c>
    </row>
    <row r="18" spans="2:30" x14ac:dyDescent="0.25">
      <c r="B18" s="8" t="s">
        <v>89</v>
      </c>
      <c r="C18" s="9" t="s">
        <v>38</v>
      </c>
      <c r="D18" s="10">
        <v>2</v>
      </c>
      <c r="E18" s="11">
        <v>8024.8779607499991</v>
      </c>
      <c r="F18" s="13">
        <v>1133</v>
      </c>
      <c r="G18" s="13">
        <v>1133</v>
      </c>
      <c r="H18" s="13">
        <v>1133</v>
      </c>
      <c r="I18" s="13">
        <v>1000</v>
      </c>
      <c r="J18" s="13">
        <v>190</v>
      </c>
      <c r="K18" s="20"/>
      <c r="L18" s="13">
        <v>150</v>
      </c>
      <c r="M18" s="20">
        <v>733</v>
      </c>
      <c r="N18" s="20">
        <v>800</v>
      </c>
      <c r="O18" s="21"/>
      <c r="P18" s="21">
        <f t="shared" si="4"/>
        <v>1604.9755921499996</v>
      </c>
      <c r="Q18" s="15">
        <f t="shared" si="1"/>
        <v>15901.8535529</v>
      </c>
      <c r="R18" s="20">
        <f t="shared" si="7"/>
        <v>80.248779607499998</v>
      </c>
      <c r="S18" s="20">
        <f>1000</f>
        <v>1000</v>
      </c>
      <c r="T18" s="20">
        <f t="shared" si="6"/>
        <v>561.74145725250003</v>
      </c>
      <c r="U18" s="12">
        <f t="shared" si="5"/>
        <v>561.74145725250003</v>
      </c>
      <c r="V18" s="20">
        <v>1616.3920296578203</v>
      </c>
      <c r="W18" s="22"/>
      <c r="X18" s="23"/>
      <c r="Y18" s="23"/>
      <c r="Z18" s="23"/>
      <c r="AA18" s="23"/>
      <c r="AB18" s="17">
        <f t="shared" si="2"/>
        <v>3820.1237237703203</v>
      </c>
      <c r="AC18" s="18">
        <f t="shared" si="3"/>
        <v>12081.729829129679</v>
      </c>
    </row>
    <row r="19" spans="2:30" x14ac:dyDescent="0.25">
      <c r="B19" s="8" t="s">
        <v>89</v>
      </c>
      <c r="C19" s="9" t="s">
        <v>39</v>
      </c>
      <c r="D19" s="10">
        <v>2</v>
      </c>
      <c r="E19" s="11">
        <v>8024.8779607499991</v>
      </c>
      <c r="F19" s="13">
        <v>1133</v>
      </c>
      <c r="G19" s="13">
        <v>1133</v>
      </c>
      <c r="H19" s="13">
        <v>1133</v>
      </c>
      <c r="I19" s="13">
        <v>1000</v>
      </c>
      <c r="J19" s="13">
        <v>190</v>
      </c>
      <c r="K19" s="20"/>
      <c r="L19" s="13">
        <v>150</v>
      </c>
      <c r="M19" s="20">
        <v>733</v>
      </c>
      <c r="N19" s="20"/>
      <c r="O19" s="21"/>
      <c r="P19" s="21">
        <f t="shared" si="4"/>
        <v>1604.9755921499996</v>
      </c>
      <c r="Q19" s="15">
        <f t="shared" si="1"/>
        <v>15101.8535529</v>
      </c>
      <c r="R19" s="20">
        <f t="shared" si="7"/>
        <v>80.248779607499998</v>
      </c>
      <c r="S19" s="20">
        <f>500</f>
        <v>500</v>
      </c>
      <c r="T19" s="20">
        <f t="shared" si="6"/>
        <v>561.74145725250003</v>
      </c>
      <c r="U19" s="12">
        <f t="shared" si="5"/>
        <v>561.74145725250003</v>
      </c>
      <c r="V19" s="20">
        <v>1530.9520296578203</v>
      </c>
      <c r="W19" s="22"/>
      <c r="X19" s="23"/>
      <c r="Y19" s="23"/>
      <c r="Z19" s="23">
        <f>966.64</f>
        <v>966.64</v>
      </c>
      <c r="AA19" s="23">
        <f>1933.28</f>
        <v>1933.28</v>
      </c>
      <c r="AB19" s="17">
        <f t="shared" si="2"/>
        <v>6134.6037237703204</v>
      </c>
      <c r="AC19" s="18">
        <f t="shared" si="3"/>
        <v>8967.2498291296797</v>
      </c>
    </row>
    <row r="20" spans="2:30" ht="22.5" x14ac:dyDescent="0.25">
      <c r="B20" s="8" t="s">
        <v>89</v>
      </c>
      <c r="C20" s="9" t="s">
        <v>41</v>
      </c>
      <c r="D20" s="10">
        <v>1</v>
      </c>
      <c r="E20" s="11">
        <v>7531.9769857499987</v>
      </c>
      <c r="F20" s="13">
        <v>1133</v>
      </c>
      <c r="G20" s="13">
        <v>1133</v>
      </c>
      <c r="H20" s="13">
        <v>1133</v>
      </c>
      <c r="I20" s="13">
        <v>1000</v>
      </c>
      <c r="J20" s="13">
        <v>180</v>
      </c>
      <c r="K20" s="20"/>
      <c r="L20" s="13"/>
      <c r="M20" s="20">
        <v>715</v>
      </c>
      <c r="N20" s="20"/>
      <c r="O20" s="21"/>
      <c r="P20" s="21">
        <f t="shared" si="4"/>
        <v>1506.3953971499998</v>
      </c>
      <c r="Q20" s="15">
        <f t="shared" si="1"/>
        <v>14332.372382899999</v>
      </c>
      <c r="R20" s="20"/>
      <c r="S20" s="20"/>
      <c r="T20" s="20">
        <f t="shared" si="6"/>
        <v>527.23838900249996</v>
      </c>
      <c r="U20" s="12">
        <f t="shared" si="5"/>
        <v>527.23838900249996</v>
      </c>
      <c r="V20" s="20">
        <v>1380.1096165718202</v>
      </c>
      <c r="W20" s="22"/>
      <c r="X20" s="23"/>
      <c r="Y20" s="23"/>
      <c r="Z20" s="23"/>
      <c r="AA20" s="23"/>
      <c r="AB20" s="17">
        <f t="shared" si="2"/>
        <v>2434.5863945768201</v>
      </c>
      <c r="AC20" s="18">
        <f t="shared" si="3"/>
        <v>11897.785988323179</v>
      </c>
    </row>
    <row r="21" spans="2:30" ht="22.5" x14ac:dyDescent="0.25">
      <c r="B21" s="8" t="s">
        <v>90</v>
      </c>
      <c r="C21" s="9" t="s">
        <v>42</v>
      </c>
      <c r="D21" s="10"/>
      <c r="E21" s="11">
        <v>6069.96</v>
      </c>
      <c r="F21" s="30"/>
      <c r="G21" s="30"/>
      <c r="H21" s="30"/>
      <c r="I21" s="27"/>
      <c r="J21" s="28"/>
      <c r="K21" s="28"/>
      <c r="L21" s="28"/>
      <c r="M21" s="20"/>
      <c r="N21" s="20"/>
      <c r="O21" s="21"/>
      <c r="P21" s="21"/>
      <c r="Q21" s="15">
        <f t="shared" si="1"/>
        <v>6069.96</v>
      </c>
      <c r="R21" s="20"/>
      <c r="S21" s="28"/>
      <c r="T21" s="28"/>
      <c r="U21" s="12"/>
      <c r="V21" s="20">
        <v>527.76699999999994</v>
      </c>
      <c r="W21" s="22"/>
      <c r="X21" s="23"/>
      <c r="Y21" s="23"/>
      <c r="Z21" s="23"/>
      <c r="AA21" s="23"/>
      <c r="AB21" s="17">
        <f t="shared" si="2"/>
        <v>527.76699999999994</v>
      </c>
      <c r="AC21" s="18">
        <f t="shared" si="3"/>
        <v>5542.1930000000002</v>
      </c>
    </row>
    <row r="22" spans="2:30" x14ac:dyDescent="0.25">
      <c r="B22" s="8" t="s">
        <v>90</v>
      </c>
      <c r="C22" s="25" t="s">
        <v>43</v>
      </c>
      <c r="D22" s="31"/>
      <c r="E22" s="32">
        <v>3018.5</v>
      </c>
      <c r="F22" s="30"/>
      <c r="G22" s="30"/>
      <c r="H22" s="30"/>
      <c r="I22" s="27"/>
      <c r="J22" s="28"/>
      <c r="K22" s="28"/>
      <c r="L22" s="28"/>
      <c r="M22" s="20"/>
      <c r="N22" s="20"/>
      <c r="O22" s="21"/>
      <c r="P22" s="21"/>
      <c r="Q22" s="15">
        <f t="shared" si="1"/>
        <v>3018.5</v>
      </c>
      <c r="R22" s="20"/>
      <c r="S22" s="28"/>
      <c r="T22" s="28"/>
      <c r="U22" s="12"/>
      <c r="V22" s="20">
        <v>176.47039999999998</v>
      </c>
      <c r="W22" s="22"/>
      <c r="X22" s="23"/>
      <c r="Y22" s="23"/>
      <c r="Z22" s="23"/>
      <c r="AA22" s="23"/>
      <c r="AB22" s="17">
        <f t="shared" si="2"/>
        <v>176.47039999999998</v>
      </c>
      <c r="AC22" s="18">
        <f t="shared" si="3"/>
        <v>2842.0295999999998</v>
      </c>
    </row>
    <row r="23" spans="2:30" x14ac:dyDescent="0.25">
      <c r="B23" s="8" t="s">
        <v>44</v>
      </c>
      <c r="C23" s="25" t="s">
        <v>45</v>
      </c>
      <c r="D23" s="31"/>
      <c r="E23" s="32">
        <f>24876/2</f>
        <v>12438</v>
      </c>
      <c r="F23" s="30"/>
      <c r="G23" s="30"/>
      <c r="H23" s="30"/>
      <c r="I23" s="27"/>
      <c r="J23" s="28"/>
      <c r="K23" s="28"/>
      <c r="L23" s="28"/>
      <c r="M23" s="28"/>
      <c r="N23" s="28"/>
      <c r="O23" s="29"/>
      <c r="P23" s="29"/>
      <c r="Q23" s="15">
        <f t="shared" si="1"/>
        <v>12438</v>
      </c>
      <c r="R23" s="28"/>
      <c r="S23" s="28"/>
      <c r="T23" s="28"/>
      <c r="U23" s="32"/>
      <c r="V23" s="28">
        <v>1936</v>
      </c>
      <c r="W23" s="33"/>
      <c r="X23" s="34"/>
      <c r="Y23" s="34"/>
      <c r="Z23" s="34"/>
      <c r="AA23" s="34"/>
      <c r="AB23" s="17">
        <f t="shared" ref="AB23" si="9">SUM(R23:AA23)</f>
        <v>1936</v>
      </c>
      <c r="AC23" s="18">
        <f t="shared" si="3"/>
        <v>10502</v>
      </c>
    </row>
    <row r="24" spans="2:30" ht="15.75" thickBot="1" x14ac:dyDescent="0.3">
      <c r="B24" s="35" t="s">
        <v>46</v>
      </c>
      <c r="C24" s="36"/>
      <c r="D24" s="37"/>
      <c r="E24" s="38">
        <f t="shared" ref="E24:AC24" si="10">SUM(E4:E23)</f>
        <v>222447.88545053615</v>
      </c>
      <c r="F24" s="38">
        <f t="shared" si="10"/>
        <v>14181.066666666666</v>
      </c>
      <c r="G24" s="38">
        <f t="shared" si="10"/>
        <v>15081.066666666668</v>
      </c>
      <c r="H24" s="38">
        <f t="shared" si="10"/>
        <v>14181.066666666666</v>
      </c>
      <c r="I24" s="38">
        <f t="shared" si="10"/>
        <v>13133.333333333332</v>
      </c>
      <c r="J24" s="38">
        <f t="shared" si="10"/>
        <v>1904.6666666666665</v>
      </c>
      <c r="K24" s="38">
        <f t="shared" si="10"/>
        <v>4179</v>
      </c>
      <c r="L24" s="38">
        <f t="shared" si="10"/>
        <v>1825</v>
      </c>
      <c r="M24" s="38">
        <f t="shared" si="10"/>
        <v>8420.7333333333336</v>
      </c>
      <c r="N24" s="38">
        <f t="shared" si="10"/>
        <v>1600</v>
      </c>
      <c r="O24" s="38">
        <f t="shared" si="10"/>
        <v>32747.806666666664</v>
      </c>
      <c r="P24" s="38">
        <f t="shared" si="10"/>
        <v>31965.782902507239</v>
      </c>
      <c r="Q24" s="38">
        <f t="shared" si="10"/>
        <v>361667.40835304349</v>
      </c>
      <c r="R24" s="38">
        <f t="shared" si="10"/>
        <v>874.66148915249994</v>
      </c>
      <c r="S24" s="38">
        <f t="shared" si="10"/>
        <v>3500</v>
      </c>
      <c r="T24" s="38">
        <f t="shared" si="10"/>
        <v>7729.5739815375364</v>
      </c>
      <c r="U24" s="38">
        <f t="shared" si="10"/>
        <v>14064.499781537537</v>
      </c>
      <c r="V24" s="38">
        <f t="shared" si="10"/>
        <v>45864.989078137725</v>
      </c>
      <c r="W24" s="38">
        <f t="shared" si="10"/>
        <v>2583</v>
      </c>
      <c r="X24" s="38">
        <f t="shared" si="10"/>
        <v>0</v>
      </c>
      <c r="Y24" s="38">
        <f t="shared" si="10"/>
        <v>0</v>
      </c>
      <c r="Z24" s="38">
        <f t="shared" si="10"/>
        <v>1933.28</v>
      </c>
      <c r="AA24" s="38">
        <f t="shared" si="10"/>
        <v>1933.28</v>
      </c>
      <c r="AB24" s="38">
        <f t="shared" si="10"/>
        <v>78483.284330365335</v>
      </c>
      <c r="AC24" s="38">
        <f t="shared" si="10"/>
        <v>283184.12402267812</v>
      </c>
      <c r="AD24" s="19"/>
    </row>
    <row r="25" spans="2:30" x14ac:dyDescent="0.25"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</row>
    <row r="26" spans="2:30" x14ac:dyDescent="0.25">
      <c r="B26" s="42"/>
      <c r="E26" s="40"/>
    </row>
    <row r="27" spans="2:30" x14ac:dyDescent="0.25">
      <c r="B27" s="42"/>
      <c r="E27" s="40"/>
    </row>
    <row r="29" spans="2:30" x14ac:dyDescent="0.25">
      <c r="B29" t="s">
        <v>87</v>
      </c>
      <c r="C29" t="s">
        <v>91</v>
      </c>
    </row>
    <row r="30" spans="2:30" x14ac:dyDescent="0.25">
      <c r="B30" t="s">
        <v>88</v>
      </c>
      <c r="C30" t="s">
        <v>92</v>
      </c>
    </row>
    <row r="31" spans="2:30" x14ac:dyDescent="0.25">
      <c r="B31" t="s">
        <v>89</v>
      </c>
      <c r="C31" t="s">
        <v>93</v>
      </c>
    </row>
    <row r="32" spans="2:30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" right="0" top="0" bottom="0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workbookViewId="0">
      <selection activeCell="C4" sqref="C4:AB22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10.140625" customWidth="1"/>
    <col min="7" max="7" width="8.85546875" customWidth="1"/>
    <col min="8" max="8" width="9.7109375" customWidth="1"/>
    <col min="9" max="9" width="9" customWidth="1"/>
    <col min="10" max="11" width="8.85546875" customWidth="1"/>
    <col min="12" max="14" width="8.7109375" customWidth="1"/>
    <col min="15" max="15" width="9.5703125" bestFit="1" customWidth="1"/>
    <col min="16" max="16" width="9.28515625" bestFit="1" customWidth="1"/>
    <col min="17" max="17" width="7.42578125" customWidth="1"/>
    <col min="18" max="19" width="8.7109375" bestFit="1" customWidth="1"/>
    <col min="20" max="20" width="9" customWidth="1"/>
    <col min="21" max="21" width="9.5703125" customWidth="1"/>
    <col min="22" max="22" width="7.85546875" hidden="1" customWidth="1"/>
    <col min="23" max="24" width="8.5703125" hidden="1" customWidth="1"/>
    <col min="25" max="26" width="10.140625" customWidth="1"/>
    <col min="27" max="27" width="9.5703125" customWidth="1"/>
    <col min="28" max="28" width="12.5703125" bestFit="1" customWidth="1"/>
    <col min="29" max="29" width="14.140625" bestFit="1" customWidth="1"/>
  </cols>
  <sheetData>
    <row r="1" spans="2:28" ht="18.75" x14ac:dyDescent="0.25">
      <c r="E1" s="1"/>
      <c r="F1" s="2" t="s">
        <v>62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8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28" ht="48.75" customHeight="1" x14ac:dyDescent="0.25">
      <c r="B3" s="47"/>
      <c r="C3" s="47" t="s">
        <v>1</v>
      </c>
      <c r="D3" s="4" t="s">
        <v>2</v>
      </c>
      <c r="E3" s="47" t="s">
        <v>3</v>
      </c>
      <c r="F3" s="47" t="s">
        <v>4</v>
      </c>
      <c r="G3" s="47" t="s">
        <v>5</v>
      </c>
      <c r="H3" s="47" t="s">
        <v>7</v>
      </c>
      <c r="I3" s="47" t="s">
        <v>8</v>
      </c>
      <c r="J3" s="47" t="s">
        <v>9</v>
      </c>
      <c r="K3" s="47" t="s">
        <v>10</v>
      </c>
      <c r="L3" s="47" t="s">
        <v>11</v>
      </c>
      <c r="M3" s="47" t="s">
        <v>12</v>
      </c>
      <c r="N3" s="47" t="s">
        <v>13</v>
      </c>
      <c r="O3" s="47" t="s">
        <v>61</v>
      </c>
      <c r="P3" s="48" t="s">
        <v>96</v>
      </c>
      <c r="Q3" s="5" t="s">
        <v>15</v>
      </c>
      <c r="R3" s="5" t="s">
        <v>16</v>
      </c>
      <c r="S3" s="5" t="s">
        <v>17</v>
      </c>
      <c r="T3" s="5" t="s">
        <v>18</v>
      </c>
      <c r="U3" s="5" t="s">
        <v>19</v>
      </c>
      <c r="V3" s="6" t="s">
        <v>20</v>
      </c>
      <c r="W3" s="6" t="s">
        <v>21</v>
      </c>
      <c r="X3" s="7" t="s">
        <v>22</v>
      </c>
      <c r="Y3" s="49" t="s">
        <v>83</v>
      </c>
      <c r="Z3" s="49" t="s">
        <v>84</v>
      </c>
      <c r="AA3" s="49" t="s">
        <v>85</v>
      </c>
      <c r="AB3" s="50" t="s">
        <v>86</v>
      </c>
    </row>
    <row r="4" spans="2:28" x14ac:dyDescent="0.25">
      <c r="B4" s="8" t="s">
        <v>87</v>
      </c>
      <c r="C4" s="9" t="s">
        <v>23</v>
      </c>
      <c r="D4" s="10">
        <v>17</v>
      </c>
      <c r="E4" s="11">
        <v>19286.689999999999</v>
      </c>
      <c r="F4" s="13">
        <v>200</v>
      </c>
      <c r="G4" s="12"/>
      <c r="H4" s="13"/>
      <c r="I4" s="12"/>
      <c r="J4" s="12"/>
      <c r="K4" s="12"/>
      <c r="L4" s="12"/>
      <c r="M4" s="12"/>
      <c r="N4" s="14"/>
      <c r="O4" s="13"/>
      <c r="P4" s="15">
        <f>SUM(E4:O4)</f>
        <v>19486.689999999999</v>
      </c>
      <c r="Q4" s="12"/>
      <c r="R4" s="12"/>
      <c r="S4" s="12"/>
      <c r="T4" s="12">
        <f t="shared" ref="T4:T19" si="0">(E4*0.07)</f>
        <v>1350.0683000000001</v>
      </c>
      <c r="U4" s="12">
        <v>3388.3970879999997</v>
      </c>
      <c r="V4" s="16"/>
      <c r="W4" s="17"/>
      <c r="X4" s="17"/>
      <c r="Y4" s="17"/>
      <c r="Z4" s="17"/>
      <c r="AA4" s="17">
        <f t="shared" ref="AA4:AA22" si="1">SUM(Q4:Z4)</f>
        <v>4738.4653879999996</v>
      </c>
      <c r="AB4" s="18">
        <f t="shared" ref="AB4:AB22" si="2">+P4-AA4</f>
        <v>14748.224611999998</v>
      </c>
    </row>
    <row r="5" spans="2:28" x14ac:dyDescent="0.25">
      <c r="B5" s="8" t="s">
        <v>87</v>
      </c>
      <c r="C5" s="9" t="s">
        <v>24</v>
      </c>
      <c r="D5" s="10">
        <v>14</v>
      </c>
      <c r="E5" s="11">
        <v>14917.51</v>
      </c>
      <c r="F5" s="13">
        <v>200</v>
      </c>
      <c r="G5" s="20"/>
      <c r="H5" s="13"/>
      <c r="I5" s="20"/>
      <c r="J5" s="20"/>
      <c r="K5" s="20"/>
      <c r="L5" s="20"/>
      <c r="M5" s="20"/>
      <c r="N5" s="21"/>
      <c r="O5" s="13"/>
      <c r="P5" s="15">
        <f t="shared" ref="P5:P22" si="3">SUM(E5:O5)</f>
        <v>15117.51</v>
      </c>
      <c r="Q5" s="20"/>
      <c r="R5" s="20"/>
      <c r="S5" s="20"/>
      <c r="T5" s="12">
        <f t="shared" si="0"/>
        <v>1044.2257000000002</v>
      </c>
      <c r="U5" s="20">
        <v>2373.7416400000002</v>
      </c>
      <c r="V5" s="22"/>
      <c r="W5" s="23"/>
      <c r="X5" s="23"/>
      <c r="Y5" s="23"/>
      <c r="Z5" s="23"/>
      <c r="AA5" s="17">
        <f t="shared" si="1"/>
        <v>3417.9673400000001</v>
      </c>
      <c r="AB5" s="18">
        <f t="shared" si="2"/>
        <v>11699.542659999999</v>
      </c>
    </row>
    <row r="6" spans="2:28" x14ac:dyDescent="0.25">
      <c r="B6" s="8" t="s">
        <v>87</v>
      </c>
      <c r="C6" s="9" t="s">
        <v>25</v>
      </c>
      <c r="D6" s="10">
        <v>14</v>
      </c>
      <c r="E6" s="11">
        <v>14917.51</v>
      </c>
      <c r="F6" s="13">
        <v>200</v>
      </c>
      <c r="G6" s="20"/>
      <c r="H6" s="13"/>
      <c r="I6" s="20"/>
      <c r="J6" s="20"/>
      <c r="K6" s="20"/>
      <c r="L6" s="20"/>
      <c r="M6" s="20"/>
      <c r="N6" s="21"/>
      <c r="O6" s="13"/>
      <c r="P6" s="15">
        <f t="shared" si="3"/>
        <v>15117.51</v>
      </c>
      <c r="Q6" s="20"/>
      <c r="R6" s="20"/>
      <c r="S6" s="20"/>
      <c r="T6" s="12">
        <f t="shared" si="0"/>
        <v>1044.2257000000002</v>
      </c>
      <c r="U6" s="20">
        <v>2373.7416400000002</v>
      </c>
      <c r="V6" s="22"/>
      <c r="W6" s="23"/>
      <c r="X6" s="23"/>
      <c r="Y6" s="23"/>
      <c r="Z6" s="23"/>
      <c r="AA6" s="17">
        <f t="shared" si="1"/>
        <v>3417.9673400000001</v>
      </c>
      <c r="AB6" s="18">
        <f t="shared" si="2"/>
        <v>11699.542659999999</v>
      </c>
    </row>
    <row r="7" spans="2:28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13">
        <v>900</v>
      </c>
      <c r="G7" s="13">
        <v>900</v>
      </c>
      <c r="H7" s="13">
        <v>900</v>
      </c>
      <c r="I7" s="13">
        <v>3000</v>
      </c>
      <c r="J7" s="20">
        <v>3341.8</v>
      </c>
      <c r="K7" s="20">
        <v>733</v>
      </c>
      <c r="L7" s="13"/>
      <c r="M7" s="20"/>
      <c r="N7" s="21">
        <f t="shared" ref="N7:N13" si="4">(E7/15)*2</f>
        <v>2002.9466666666667</v>
      </c>
      <c r="O7" s="13">
        <f t="shared" ref="O7:O19" si="5">(E7/15)*10</f>
        <v>10014.733333333334</v>
      </c>
      <c r="P7" s="15">
        <f t="shared" si="3"/>
        <v>36814.58</v>
      </c>
      <c r="Q7" s="20"/>
      <c r="R7" s="20"/>
      <c r="S7" s="20"/>
      <c r="T7" s="12">
        <f t="shared" si="0"/>
        <v>1051.547</v>
      </c>
      <c r="U7" s="20">
        <v>4607.1211680000006</v>
      </c>
      <c r="V7" s="22"/>
      <c r="W7" s="23"/>
      <c r="X7" s="23"/>
      <c r="Y7" s="23"/>
      <c r="Z7" s="23"/>
      <c r="AA7" s="17">
        <f t="shared" si="1"/>
        <v>5658.6681680000002</v>
      </c>
      <c r="AB7" s="18">
        <f t="shared" si="2"/>
        <v>31155.911832000002</v>
      </c>
    </row>
    <row r="8" spans="2:28" ht="15" customHeight="1" x14ac:dyDescent="0.25">
      <c r="B8" s="8" t="s">
        <v>88</v>
      </c>
      <c r="C8" s="9" t="s">
        <v>28</v>
      </c>
      <c r="D8" s="10">
        <v>13</v>
      </c>
      <c r="E8" s="11">
        <v>15022.1</v>
      </c>
      <c r="F8" s="13">
        <v>900</v>
      </c>
      <c r="G8" s="13">
        <v>900</v>
      </c>
      <c r="H8" s="13">
        <v>900</v>
      </c>
      <c r="I8" s="13">
        <v>3000</v>
      </c>
      <c r="J8" s="20">
        <v>3341.8</v>
      </c>
      <c r="K8" s="20">
        <v>733</v>
      </c>
      <c r="L8" s="13"/>
      <c r="M8" s="20"/>
      <c r="N8" s="21">
        <f t="shared" si="4"/>
        <v>2002.9466666666667</v>
      </c>
      <c r="O8" s="13">
        <f t="shared" si="5"/>
        <v>10014.733333333334</v>
      </c>
      <c r="P8" s="15">
        <f t="shared" si="3"/>
        <v>36814.58</v>
      </c>
      <c r="Q8" s="20"/>
      <c r="R8" s="20"/>
      <c r="S8" s="20"/>
      <c r="T8" s="12">
        <f t="shared" si="0"/>
        <v>1051.547</v>
      </c>
      <c r="U8" s="20">
        <v>4607.1211680000006</v>
      </c>
      <c r="V8" s="22"/>
      <c r="W8" s="23"/>
      <c r="X8" s="23"/>
      <c r="Y8" s="23"/>
      <c r="Z8" s="23"/>
      <c r="AA8" s="17">
        <f t="shared" si="1"/>
        <v>5658.6681680000002</v>
      </c>
      <c r="AB8" s="18">
        <f t="shared" si="2"/>
        <v>31155.911832000002</v>
      </c>
    </row>
    <row r="9" spans="2:28" ht="15" customHeight="1" x14ac:dyDescent="0.25">
      <c r="B9" s="8" t="s">
        <v>88</v>
      </c>
      <c r="C9" s="9" t="s">
        <v>29</v>
      </c>
      <c r="D9" s="10">
        <v>9</v>
      </c>
      <c r="E9" s="11">
        <v>11333.03</v>
      </c>
      <c r="F9" s="13">
        <v>900</v>
      </c>
      <c r="G9" s="13">
        <v>900</v>
      </c>
      <c r="H9" s="13">
        <v>900</v>
      </c>
      <c r="I9" s="13">
        <v>1050</v>
      </c>
      <c r="J9" s="20">
        <v>1803.2</v>
      </c>
      <c r="K9" s="20">
        <v>675</v>
      </c>
      <c r="L9" s="13"/>
      <c r="M9" s="20"/>
      <c r="N9" s="21">
        <f t="shared" si="4"/>
        <v>1511.0706666666667</v>
      </c>
      <c r="O9" s="13">
        <f t="shared" si="5"/>
        <v>7555.3533333333335</v>
      </c>
      <c r="P9" s="15">
        <f t="shared" si="3"/>
        <v>26627.653999999999</v>
      </c>
      <c r="Q9" s="20"/>
      <c r="R9" s="20"/>
      <c r="S9" s="20"/>
      <c r="T9" s="12">
        <f t="shared" si="0"/>
        <v>793.3121000000001</v>
      </c>
      <c r="U9" s="20">
        <v>2975.3040384000001</v>
      </c>
      <c r="V9" s="22"/>
      <c r="W9" s="23"/>
      <c r="X9" s="23"/>
      <c r="Y9" s="23"/>
      <c r="Z9" s="23"/>
      <c r="AA9" s="17">
        <f t="shared" si="1"/>
        <v>3768.6161384000002</v>
      </c>
      <c r="AB9" s="18">
        <f t="shared" si="2"/>
        <v>22859.037861599998</v>
      </c>
    </row>
    <row r="10" spans="2:28" ht="15" customHeight="1" x14ac:dyDescent="0.25">
      <c r="B10" s="8" t="s">
        <v>89</v>
      </c>
      <c r="C10" s="9" t="s">
        <v>30</v>
      </c>
      <c r="D10" s="10">
        <v>10</v>
      </c>
      <c r="E10" s="11">
        <v>15424.35954953621</v>
      </c>
      <c r="F10" s="13">
        <v>1100</v>
      </c>
      <c r="G10" s="13">
        <v>1133</v>
      </c>
      <c r="H10" s="13">
        <v>1140</v>
      </c>
      <c r="I10" s="13">
        <v>1150</v>
      </c>
      <c r="J10" s="20">
        <v>1934.8</v>
      </c>
      <c r="K10" s="20">
        <v>787</v>
      </c>
      <c r="L10" s="13"/>
      <c r="M10" s="20">
        <v>945</v>
      </c>
      <c r="N10" s="21">
        <f t="shared" si="4"/>
        <v>2056.5812732714944</v>
      </c>
      <c r="O10" s="13">
        <f t="shared" si="5"/>
        <v>10282.906366357473</v>
      </c>
      <c r="P10" s="15">
        <f t="shared" si="3"/>
        <v>35953.647189165174</v>
      </c>
      <c r="Q10" s="20"/>
      <c r="R10" s="20"/>
      <c r="S10" s="20">
        <f t="shared" ref="S10:S19" si="6">(E10*0.07)</f>
        <v>1079.7051684675348</v>
      </c>
      <c r="T10" s="12">
        <f t="shared" si="0"/>
        <v>1079.7051684675348</v>
      </c>
      <c r="U10" s="20">
        <v>4474.0363924712829</v>
      </c>
      <c r="V10" s="22"/>
      <c r="W10" s="23"/>
      <c r="X10" s="23"/>
      <c r="Y10" s="23"/>
      <c r="Z10" s="23"/>
      <c r="AA10" s="17">
        <f t="shared" si="1"/>
        <v>6633.4467294063525</v>
      </c>
      <c r="AB10" s="18">
        <f t="shared" si="2"/>
        <v>29320.200459758824</v>
      </c>
    </row>
    <row r="11" spans="2:28" ht="15" customHeight="1" x14ac:dyDescent="0.25">
      <c r="B11" s="8" t="s">
        <v>89</v>
      </c>
      <c r="C11" s="9" t="s">
        <v>31</v>
      </c>
      <c r="D11" s="10">
        <v>8</v>
      </c>
      <c r="E11" s="11">
        <v>13360.854858749999</v>
      </c>
      <c r="F11" s="13">
        <v>1100</v>
      </c>
      <c r="G11" s="13">
        <v>1133</v>
      </c>
      <c r="H11" s="13">
        <v>1140</v>
      </c>
      <c r="I11" s="13">
        <v>1000</v>
      </c>
      <c r="J11" s="12">
        <v>1677.2</v>
      </c>
      <c r="K11" s="12">
        <f>662+100</f>
        <v>762</v>
      </c>
      <c r="L11" s="13">
        <f>225</f>
        <v>225</v>
      </c>
      <c r="M11" s="13">
        <v>838</v>
      </c>
      <c r="N11" s="21">
        <f t="shared" si="4"/>
        <v>1781.4473144999999</v>
      </c>
      <c r="O11" s="13">
        <f t="shared" si="5"/>
        <v>8907.2365725</v>
      </c>
      <c r="P11" s="15">
        <f t="shared" si="3"/>
        <v>31924.738745750001</v>
      </c>
      <c r="Q11" s="20">
        <f t="shared" ref="Q11:Q18" si="7">(E11*0.01)</f>
        <v>133.6085485875</v>
      </c>
      <c r="R11" s="20">
        <f>1000</f>
        <v>1000</v>
      </c>
      <c r="S11" s="20">
        <f t="shared" si="6"/>
        <v>935.2598401125</v>
      </c>
      <c r="T11" s="12">
        <f t="shared" si="0"/>
        <v>935.2598401125</v>
      </c>
      <c r="U11" s="20">
        <v>3784.0286078891995</v>
      </c>
      <c r="V11" s="22"/>
      <c r="W11" s="23"/>
      <c r="X11" s="23"/>
      <c r="Y11" s="23">
        <f>966.64</f>
        <v>966.64</v>
      </c>
      <c r="Z11" s="23"/>
      <c r="AA11" s="17">
        <f t="shared" si="1"/>
        <v>7754.7968367017002</v>
      </c>
      <c r="AB11" s="18">
        <f t="shared" si="2"/>
        <v>24169.941909048299</v>
      </c>
    </row>
    <row r="12" spans="2:28" ht="22.5" x14ac:dyDescent="0.25">
      <c r="B12" s="24" t="s">
        <v>89</v>
      </c>
      <c r="C12" s="25" t="s">
        <v>32</v>
      </c>
      <c r="D12" s="26">
        <v>7</v>
      </c>
      <c r="E12" s="11">
        <v>12482.481170250001</v>
      </c>
      <c r="F12" s="13">
        <v>1100</v>
      </c>
      <c r="G12" s="13">
        <v>1133</v>
      </c>
      <c r="H12" s="13">
        <v>1140</v>
      </c>
      <c r="I12" s="13"/>
      <c r="J12" s="12">
        <v>1565.2</v>
      </c>
      <c r="K12" s="12">
        <f>651+100</f>
        <v>751</v>
      </c>
      <c r="L12" s="20">
        <v>325</v>
      </c>
      <c r="M12" s="20">
        <v>793</v>
      </c>
      <c r="N12" s="21">
        <f t="shared" si="4"/>
        <v>1664.3308227000002</v>
      </c>
      <c r="O12" s="13">
        <f t="shared" si="5"/>
        <v>8321.6541135000007</v>
      </c>
      <c r="P12" s="15">
        <f t="shared" si="3"/>
        <v>29275.666106450004</v>
      </c>
      <c r="Q12" s="20">
        <f t="shared" si="7"/>
        <v>124.82481170250001</v>
      </c>
      <c r="R12" s="20"/>
      <c r="S12" s="20">
        <f t="shared" si="6"/>
        <v>873.7736819175002</v>
      </c>
      <c r="T12" s="12">
        <f t="shared" si="0"/>
        <v>873.7736819175002</v>
      </c>
      <c r="U12" s="20">
        <v>3380.9609197399209</v>
      </c>
      <c r="V12" s="23"/>
      <c r="W12" s="22"/>
      <c r="X12" s="22"/>
      <c r="Y12" s="22"/>
      <c r="Z12" s="22"/>
      <c r="AA12" s="17">
        <f t="shared" si="1"/>
        <v>5253.3330952774213</v>
      </c>
      <c r="AB12" s="18">
        <f t="shared" si="2"/>
        <v>24022.333011172581</v>
      </c>
    </row>
    <row r="13" spans="2:28" x14ac:dyDescent="0.25">
      <c r="B13" s="24" t="s">
        <v>89</v>
      </c>
      <c r="C13" s="25" t="s">
        <v>33</v>
      </c>
      <c r="D13" s="26">
        <v>7</v>
      </c>
      <c r="E13" s="11">
        <v>12482.481170250001</v>
      </c>
      <c r="F13" s="13">
        <v>1100</v>
      </c>
      <c r="G13" s="13">
        <v>1133</v>
      </c>
      <c r="H13" s="13">
        <v>1140</v>
      </c>
      <c r="I13" s="13"/>
      <c r="J13" s="12">
        <v>1565.2</v>
      </c>
      <c r="K13" s="12">
        <f>651+100</f>
        <v>751</v>
      </c>
      <c r="L13" s="20"/>
      <c r="M13" s="20">
        <v>793</v>
      </c>
      <c r="N13" s="21">
        <f t="shared" si="4"/>
        <v>1664.3308227000002</v>
      </c>
      <c r="O13" s="13">
        <f t="shared" si="5"/>
        <v>8321.6541135000007</v>
      </c>
      <c r="P13" s="15">
        <f t="shared" si="3"/>
        <v>28950.666106450004</v>
      </c>
      <c r="Q13" s="20">
        <f t="shared" si="7"/>
        <v>124.82481170250001</v>
      </c>
      <c r="R13" s="20"/>
      <c r="S13" s="20">
        <f t="shared" si="6"/>
        <v>873.7736819175002</v>
      </c>
      <c r="T13" s="12">
        <f t="shared" si="0"/>
        <v>873.7736819175002</v>
      </c>
      <c r="U13" s="20">
        <v>3304.5209197399208</v>
      </c>
      <c r="V13" s="22"/>
      <c r="W13" s="23"/>
      <c r="X13" s="22"/>
      <c r="Y13" s="22"/>
      <c r="Z13" s="22"/>
      <c r="AA13" s="17">
        <f t="shared" si="1"/>
        <v>5176.8930952774208</v>
      </c>
      <c r="AB13" s="18">
        <f t="shared" si="2"/>
        <v>23773.773011172583</v>
      </c>
    </row>
    <row r="14" spans="2:28" x14ac:dyDescent="0.25">
      <c r="B14" s="8" t="s">
        <v>89</v>
      </c>
      <c r="C14" s="9" t="s">
        <v>35</v>
      </c>
      <c r="D14" s="10">
        <v>5</v>
      </c>
      <c r="E14" s="11">
        <v>10948.878517500001</v>
      </c>
      <c r="F14" s="13">
        <v>1100</v>
      </c>
      <c r="G14" s="13">
        <v>1133</v>
      </c>
      <c r="H14" s="13">
        <v>1140</v>
      </c>
      <c r="I14" s="13"/>
      <c r="J14" s="13">
        <v>1241.8</v>
      </c>
      <c r="K14" s="13">
        <f>632+100</f>
        <v>732</v>
      </c>
      <c r="L14" s="13">
        <v>150</v>
      </c>
      <c r="M14" s="20">
        <v>713</v>
      </c>
      <c r="N14" s="21">
        <f t="shared" ref="N14:N19" si="8">(E14/15)*2</f>
        <v>1459.8504690000002</v>
      </c>
      <c r="O14" s="13">
        <f t="shared" si="5"/>
        <v>7299.2523450000008</v>
      </c>
      <c r="P14" s="15">
        <f t="shared" si="3"/>
        <v>25917.781331500002</v>
      </c>
      <c r="Q14" s="20">
        <f t="shared" si="7"/>
        <v>109.48878517500002</v>
      </c>
      <c r="R14" s="20">
        <f>500</f>
        <v>500</v>
      </c>
      <c r="S14" s="20">
        <f t="shared" si="6"/>
        <v>766.42149622500017</v>
      </c>
      <c r="T14" s="12">
        <f t="shared" si="0"/>
        <v>766.42149622500017</v>
      </c>
      <c r="U14" s="20">
        <v>2785.1419982424004</v>
      </c>
      <c r="V14" s="22"/>
      <c r="W14" s="23"/>
      <c r="X14" s="23"/>
      <c r="Y14" s="23"/>
      <c r="Z14" s="23"/>
      <c r="AA14" s="17">
        <f t="shared" si="1"/>
        <v>4927.4737758674009</v>
      </c>
      <c r="AB14" s="18">
        <f t="shared" si="2"/>
        <v>20990.3075556326</v>
      </c>
    </row>
    <row r="15" spans="2:28" x14ac:dyDescent="0.25">
      <c r="B15" s="8" t="s">
        <v>89</v>
      </c>
      <c r="C15" s="9" t="s">
        <v>36</v>
      </c>
      <c r="D15" s="10">
        <v>4</v>
      </c>
      <c r="E15" s="11">
        <v>9610.9981694999988</v>
      </c>
      <c r="F15" s="13">
        <v>1100</v>
      </c>
      <c r="G15" s="13">
        <v>1133</v>
      </c>
      <c r="H15" s="13">
        <v>1140</v>
      </c>
      <c r="I15" s="13"/>
      <c r="J15" s="13">
        <v>845.6</v>
      </c>
      <c r="K15" s="13">
        <f>615+100</f>
        <v>715</v>
      </c>
      <c r="L15" s="13">
        <v>150</v>
      </c>
      <c r="M15" s="20">
        <v>644</v>
      </c>
      <c r="N15" s="21">
        <f t="shared" si="8"/>
        <v>1281.4664225999998</v>
      </c>
      <c r="O15" s="13">
        <f t="shared" si="5"/>
        <v>6407.3321129999986</v>
      </c>
      <c r="P15" s="15">
        <f t="shared" si="3"/>
        <v>23027.3967051</v>
      </c>
      <c r="Q15" s="20">
        <f t="shared" si="7"/>
        <v>96.109981694999988</v>
      </c>
      <c r="R15" s="20"/>
      <c r="S15" s="20">
        <f t="shared" si="6"/>
        <v>672.76987186500003</v>
      </c>
      <c r="T15" s="12">
        <f t="shared" si="0"/>
        <v>672.76987186500003</v>
      </c>
      <c r="U15" s="20">
        <v>2307.5656766072798</v>
      </c>
      <c r="V15" s="22"/>
      <c r="W15" s="23"/>
      <c r="X15" s="23"/>
      <c r="Y15" s="23"/>
      <c r="Z15" s="23"/>
      <c r="AA15" s="17">
        <f t="shared" si="1"/>
        <v>3749.2154020322796</v>
      </c>
      <c r="AB15" s="18">
        <f t="shared" si="2"/>
        <v>19278.181303067722</v>
      </c>
    </row>
    <row r="16" spans="2:28" x14ac:dyDescent="0.25">
      <c r="B16" s="8" t="s">
        <v>89</v>
      </c>
      <c r="C16" s="9" t="s">
        <v>37</v>
      </c>
      <c r="D16" s="10">
        <v>4</v>
      </c>
      <c r="E16" s="11">
        <v>9610.9981694999988</v>
      </c>
      <c r="F16" s="13">
        <v>1100</v>
      </c>
      <c r="G16" s="13">
        <v>1133</v>
      </c>
      <c r="H16" s="13">
        <v>1140</v>
      </c>
      <c r="I16" s="13"/>
      <c r="J16" s="13">
        <v>845.6</v>
      </c>
      <c r="K16" s="13">
        <f>615+100</f>
        <v>715</v>
      </c>
      <c r="L16" s="13">
        <v>150</v>
      </c>
      <c r="M16" s="20">
        <v>644</v>
      </c>
      <c r="N16" s="21">
        <f t="shared" si="8"/>
        <v>1281.4664225999998</v>
      </c>
      <c r="O16" s="13">
        <f t="shared" si="5"/>
        <v>6407.3321129999986</v>
      </c>
      <c r="P16" s="15">
        <f t="shared" si="3"/>
        <v>23027.3967051</v>
      </c>
      <c r="Q16" s="20">
        <f t="shared" si="7"/>
        <v>96.109981694999988</v>
      </c>
      <c r="R16" s="20">
        <f>500</f>
        <v>500</v>
      </c>
      <c r="S16" s="20">
        <f t="shared" si="6"/>
        <v>672.76987186500003</v>
      </c>
      <c r="T16" s="12">
        <f t="shared" si="0"/>
        <v>672.76987186500003</v>
      </c>
      <c r="U16" s="20">
        <v>2307.5656766072798</v>
      </c>
      <c r="V16" s="22"/>
      <c r="W16" s="23"/>
      <c r="X16" s="23"/>
      <c r="Y16" s="23"/>
      <c r="Z16" s="23"/>
      <c r="AA16" s="17">
        <f t="shared" si="1"/>
        <v>4249.2154020322796</v>
      </c>
      <c r="AB16" s="18">
        <f t="shared" si="2"/>
        <v>18778.181303067722</v>
      </c>
    </row>
    <row r="17" spans="2:29" x14ac:dyDescent="0.25">
      <c r="B17" s="8" t="s">
        <v>89</v>
      </c>
      <c r="C17" s="9" t="s">
        <v>38</v>
      </c>
      <c r="D17" s="10">
        <v>2</v>
      </c>
      <c r="E17" s="11">
        <v>8024.8779607499991</v>
      </c>
      <c r="F17" s="13">
        <v>1100</v>
      </c>
      <c r="G17" s="13">
        <v>1133</v>
      </c>
      <c r="H17" s="13">
        <v>1140</v>
      </c>
      <c r="I17" s="13"/>
      <c r="J17" s="13">
        <v>704.2</v>
      </c>
      <c r="K17" s="13">
        <f>595+100</f>
        <v>695</v>
      </c>
      <c r="L17" s="13">
        <v>150</v>
      </c>
      <c r="M17" s="20">
        <v>561</v>
      </c>
      <c r="N17" s="21">
        <f t="shared" si="8"/>
        <v>1069.9837280999998</v>
      </c>
      <c r="O17" s="13">
        <f t="shared" si="5"/>
        <v>5349.9186404999991</v>
      </c>
      <c r="P17" s="15">
        <f t="shared" si="3"/>
        <v>19927.980329350001</v>
      </c>
      <c r="Q17" s="20">
        <f t="shared" si="7"/>
        <v>80.248779607499998</v>
      </c>
      <c r="R17" s="20">
        <f>1000</f>
        <v>1000</v>
      </c>
      <c r="S17" s="20">
        <f t="shared" si="6"/>
        <v>561.74145725250003</v>
      </c>
      <c r="T17" s="12">
        <f t="shared" si="0"/>
        <v>561.74145725250003</v>
      </c>
      <c r="U17" s="20">
        <v>1807.1503693826799</v>
      </c>
      <c r="V17" s="22"/>
      <c r="W17" s="23"/>
      <c r="X17" s="23"/>
      <c r="Y17" s="23"/>
      <c r="Z17" s="23"/>
      <c r="AA17" s="17">
        <f t="shared" si="1"/>
        <v>4010.8820634951799</v>
      </c>
      <c r="AB17" s="18">
        <f t="shared" si="2"/>
        <v>15917.09826585482</v>
      </c>
    </row>
    <row r="18" spans="2:29" x14ac:dyDescent="0.25">
      <c r="B18" s="8" t="s">
        <v>89</v>
      </c>
      <c r="C18" s="9" t="s">
        <v>39</v>
      </c>
      <c r="D18" s="10">
        <v>2</v>
      </c>
      <c r="E18" s="11">
        <v>8024.8779607499991</v>
      </c>
      <c r="F18" s="13">
        <v>1100</v>
      </c>
      <c r="G18" s="13">
        <v>1133</v>
      </c>
      <c r="H18" s="13">
        <v>1140</v>
      </c>
      <c r="I18" s="13"/>
      <c r="J18" s="13">
        <v>704.2</v>
      </c>
      <c r="K18" s="13">
        <f>595+100</f>
        <v>695</v>
      </c>
      <c r="L18" s="13">
        <v>150</v>
      </c>
      <c r="M18" s="20">
        <v>561</v>
      </c>
      <c r="N18" s="21">
        <f t="shared" si="8"/>
        <v>1069.9837280999998</v>
      </c>
      <c r="O18" s="13">
        <f t="shared" si="5"/>
        <v>5349.9186404999991</v>
      </c>
      <c r="P18" s="15">
        <f t="shared" si="3"/>
        <v>19927.980329350001</v>
      </c>
      <c r="Q18" s="20">
        <f t="shared" si="7"/>
        <v>80.248779607499998</v>
      </c>
      <c r="R18" s="20">
        <f>500</f>
        <v>500</v>
      </c>
      <c r="S18" s="20">
        <f t="shared" si="6"/>
        <v>561.74145725250003</v>
      </c>
      <c r="T18" s="12">
        <f t="shared" si="0"/>
        <v>561.74145725250003</v>
      </c>
      <c r="U18" s="20">
        <v>1807.1503693826799</v>
      </c>
      <c r="V18" s="22"/>
      <c r="W18" s="23"/>
      <c r="X18" s="23"/>
      <c r="Y18" s="23">
        <f>966.64</f>
        <v>966.64</v>
      </c>
      <c r="Z18" s="23">
        <f>1933.28</f>
        <v>1933.28</v>
      </c>
      <c r="AA18" s="17">
        <f t="shared" si="1"/>
        <v>6410.8020634951799</v>
      </c>
      <c r="AB18" s="18">
        <f t="shared" si="2"/>
        <v>13517.178265854822</v>
      </c>
    </row>
    <row r="19" spans="2:29" ht="22.5" x14ac:dyDescent="0.25">
      <c r="B19" s="8" t="s">
        <v>89</v>
      </c>
      <c r="C19" s="9" t="s">
        <v>41</v>
      </c>
      <c r="D19" s="10">
        <v>1</v>
      </c>
      <c r="E19" s="11">
        <v>7531.9769857499987</v>
      </c>
      <c r="F19" s="13">
        <v>1100</v>
      </c>
      <c r="G19" s="13">
        <v>1133</v>
      </c>
      <c r="H19" s="13">
        <v>1140</v>
      </c>
      <c r="I19" s="13"/>
      <c r="J19" s="13">
        <v>658</v>
      </c>
      <c r="K19" s="13">
        <f>589+100</f>
        <v>689</v>
      </c>
      <c r="L19" s="13"/>
      <c r="M19" s="20">
        <v>536</v>
      </c>
      <c r="N19" s="21">
        <f t="shared" si="8"/>
        <v>1004.2635980999999</v>
      </c>
      <c r="O19" s="13">
        <f t="shared" si="5"/>
        <v>5021.3179904999997</v>
      </c>
      <c r="P19" s="15">
        <f t="shared" si="3"/>
        <v>18813.558574349998</v>
      </c>
      <c r="Q19" s="20"/>
      <c r="R19" s="20"/>
      <c r="S19" s="20">
        <f t="shared" si="6"/>
        <v>527.23838900249996</v>
      </c>
      <c r="T19" s="12">
        <f t="shared" si="0"/>
        <v>527.23838900249996</v>
      </c>
      <c r="U19" s="20">
        <v>1619.4683018186797</v>
      </c>
      <c r="V19" s="22"/>
      <c r="W19" s="23"/>
      <c r="X19" s="23"/>
      <c r="Y19" s="23"/>
      <c r="Z19" s="23"/>
      <c r="AA19" s="17">
        <f t="shared" si="1"/>
        <v>2673.9450798236794</v>
      </c>
      <c r="AB19" s="18">
        <f t="shared" si="2"/>
        <v>16139.613494526318</v>
      </c>
    </row>
    <row r="20" spans="2:29" ht="22.5" x14ac:dyDescent="0.25">
      <c r="B20" s="8" t="s">
        <v>90</v>
      </c>
      <c r="C20" s="9" t="s">
        <v>42</v>
      </c>
      <c r="D20" s="10"/>
      <c r="E20" s="11">
        <v>6069.96</v>
      </c>
      <c r="F20" s="27"/>
      <c r="G20" s="27"/>
      <c r="H20" s="27"/>
      <c r="I20" s="27"/>
      <c r="J20" s="28"/>
      <c r="K20" s="28"/>
      <c r="L20" s="27"/>
      <c r="M20" s="28"/>
      <c r="N20" s="29"/>
      <c r="O20" s="30"/>
      <c r="P20" s="15">
        <f t="shared" si="3"/>
        <v>6069.96</v>
      </c>
      <c r="Q20" s="20"/>
      <c r="R20" s="28"/>
      <c r="S20" s="28"/>
      <c r="T20" s="12"/>
      <c r="U20" s="20">
        <v>527.76699999999994</v>
      </c>
      <c r="V20" s="22"/>
      <c r="W20" s="23"/>
      <c r="X20" s="23"/>
      <c r="Y20" s="23"/>
      <c r="Z20" s="23"/>
      <c r="AA20" s="17">
        <f t="shared" si="1"/>
        <v>527.76699999999994</v>
      </c>
      <c r="AB20" s="18">
        <f t="shared" si="2"/>
        <v>5542.1930000000002</v>
      </c>
    </row>
    <row r="21" spans="2:29" x14ac:dyDescent="0.25">
      <c r="B21" s="8" t="s">
        <v>90</v>
      </c>
      <c r="C21" s="25" t="s">
        <v>43</v>
      </c>
      <c r="D21" s="31"/>
      <c r="E21" s="32">
        <v>3018.5</v>
      </c>
      <c r="F21" s="27"/>
      <c r="G21" s="27"/>
      <c r="H21" s="27"/>
      <c r="I21" s="27"/>
      <c r="J21" s="28"/>
      <c r="K21" s="28"/>
      <c r="L21" s="27"/>
      <c r="M21" s="28"/>
      <c r="N21" s="28"/>
      <c r="O21" s="30"/>
      <c r="P21" s="15">
        <f t="shared" si="3"/>
        <v>3018.5</v>
      </c>
      <c r="Q21" s="20"/>
      <c r="R21" s="28"/>
      <c r="S21" s="28"/>
      <c r="T21" s="12"/>
      <c r="U21" s="20">
        <v>176.47039999999998</v>
      </c>
      <c r="V21" s="22"/>
      <c r="W21" s="23"/>
      <c r="X21" s="23"/>
      <c r="Y21" s="23"/>
      <c r="Z21" s="23"/>
      <c r="AA21" s="17">
        <f t="shared" si="1"/>
        <v>176.47039999999998</v>
      </c>
      <c r="AB21" s="18">
        <f t="shared" si="2"/>
        <v>2842.0295999999998</v>
      </c>
    </row>
    <row r="22" spans="2:29" x14ac:dyDescent="0.25">
      <c r="B22" s="8" t="s">
        <v>44</v>
      </c>
      <c r="C22" s="25" t="s">
        <v>45</v>
      </c>
      <c r="D22" s="31"/>
      <c r="E22" s="32">
        <f>24876/2</f>
        <v>12438</v>
      </c>
      <c r="F22" s="27"/>
      <c r="G22" s="27"/>
      <c r="H22" s="27"/>
      <c r="I22" s="27"/>
      <c r="J22" s="28"/>
      <c r="K22" s="28"/>
      <c r="L22" s="27"/>
      <c r="M22" s="28"/>
      <c r="N22" s="28"/>
      <c r="O22" s="30"/>
      <c r="P22" s="15">
        <f t="shared" si="3"/>
        <v>12438</v>
      </c>
      <c r="Q22" s="28"/>
      <c r="R22" s="28"/>
      <c r="S22" s="28"/>
      <c r="T22" s="32"/>
      <c r="U22" s="28">
        <v>1936</v>
      </c>
      <c r="V22" s="33"/>
      <c r="W22" s="34"/>
      <c r="X22" s="34"/>
      <c r="Y22" s="34"/>
      <c r="Z22" s="34"/>
      <c r="AA22" s="17">
        <f t="shared" si="1"/>
        <v>1936</v>
      </c>
      <c r="AB22" s="18">
        <f t="shared" si="2"/>
        <v>10502</v>
      </c>
    </row>
    <row r="23" spans="2:29" ht="15.75" thickBot="1" x14ac:dyDescent="0.3">
      <c r="B23" s="35" t="s">
        <v>46</v>
      </c>
      <c r="C23" s="36"/>
      <c r="D23" s="37"/>
      <c r="E23" s="38">
        <f t="shared" ref="E23:AB23" si="9">SUM(E4:E22)</f>
        <v>219528.18451253616</v>
      </c>
      <c r="F23" s="38">
        <f t="shared" si="9"/>
        <v>14300</v>
      </c>
      <c r="G23" s="38">
        <f t="shared" si="9"/>
        <v>14030</v>
      </c>
      <c r="H23" s="38">
        <f t="shared" si="9"/>
        <v>14100</v>
      </c>
      <c r="I23" s="38">
        <f t="shared" si="9"/>
        <v>9200</v>
      </c>
      <c r="J23" s="38">
        <f t="shared" si="9"/>
        <v>20228.600000000002</v>
      </c>
      <c r="K23" s="38">
        <f t="shared" si="9"/>
        <v>9433</v>
      </c>
      <c r="L23" s="38">
        <f t="shared" si="9"/>
        <v>1300</v>
      </c>
      <c r="M23" s="38">
        <f t="shared" si="9"/>
        <v>7028</v>
      </c>
      <c r="N23" s="38">
        <f t="shared" si="9"/>
        <v>19850.668601671492</v>
      </c>
      <c r="O23" s="38">
        <f t="shared" si="9"/>
        <v>99253.343008357449</v>
      </c>
      <c r="P23" s="38">
        <f t="shared" si="9"/>
        <v>428251.79612256523</v>
      </c>
      <c r="Q23" s="38">
        <f t="shared" si="9"/>
        <v>845.4644797725</v>
      </c>
      <c r="R23" s="38">
        <f t="shared" si="9"/>
        <v>3500</v>
      </c>
      <c r="S23" s="38">
        <f t="shared" si="9"/>
        <v>7525.194915877536</v>
      </c>
      <c r="T23" s="38">
        <f t="shared" si="9"/>
        <v>13860.120715877538</v>
      </c>
      <c r="U23" s="38">
        <f t="shared" si="9"/>
        <v>50543.253374281325</v>
      </c>
      <c r="V23" s="38">
        <f t="shared" si="9"/>
        <v>0</v>
      </c>
      <c r="W23" s="38">
        <f t="shared" si="9"/>
        <v>0</v>
      </c>
      <c r="X23" s="38">
        <f t="shared" si="9"/>
        <v>0</v>
      </c>
      <c r="Y23" s="38">
        <f t="shared" si="9"/>
        <v>1933.28</v>
      </c>
      <c r="Z23" s="38">
        <f t="shared" si="9"/>
        <v>1933.28</v>
      </c>
      <c r="AA23" s="38">
        <f t="shared" si="9"/>
        <v>80140.593485808917</v>
      </c>
      <c r="AB23" s="38">
        <f t="shared" si="9"/>
        <v>348111.20263675635</v>
      </c>
      <c r="AC23" s="19"/>
    </row>
    <row r="24" spans="2:29" x14ac:dyDescent="0.25"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</row>
    <row r="25" spans="2:29" ht="15" hidden="1" customHeight="1" x14ac:dyDescent="0.25">
      <c r="E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</row>
    <row r="26" spans="2:29" ht="15" hidden="1" customHeight="1" x14ac:dyDescent="0.25">
      <c r="B26" s="41"/>
      <c r="E26" s="40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</row>
    <row r="27" spans="2:29" ht="15" hidden="1" customHeight="1" x14ac:dyDescent="0.25">
      <c r="B27" s="42"/>
      <c r="E27" s="40"/>
    </row>
    <row r="28" spans="2:29" x14ac:dyDescent="0.25">
      <c r="B28" s="42"/>
      <c r="E28" s="40"/>
    </row>
    <row r="29" spans="2:29" x14ac:dyDescent="0.25">
      <c r="B29" t="s">
        <v>87</v>
      </c>
      <c r="C29" t="s">
        <v>91</v>
      </c>
      <c r="E29" s="40"/>
    </row>
    <row r="30" spans="2:29" x14ac:dyDescent="0.25">
      <c r="B30" t="s">
        <v>88</v>
      </c>
      <c r="C30" t="s">
        <v>92</v>
      </c>
      <c r="E30" s="40"/>
    </row>
    <row r="31" spans="2:29" x14ac:dyDescent="0.25">
      <c r="B31" t="s">
        <v>89</v>
      </c>
      <c r="C31" t="s">
        <v>93</v>
      </c>
      <c r="E31" s="40"/>
    </row>
    <row r="32" spans="2:29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" right="0.70866141732283472" top="0" bottom="0" header="0.31496062992125984" footer="0.31496062992125984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"/>
  <sheetViews>
    <sheetView workbookViewId="0">
      <selection activeCell="C4" sqref="C4:AA22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9.28515625" bestFit="1" customWidth="1"/>
    <col min="7" max="14" width="8.7109375" customWidth="1"/>
    <col min="15" max="15" width="11.5703125" bestFit="1" customWidth="1"/>
    <col min="16" max="16" width="7.42578125" customWidth="1"/>
    <col min="17" max="18" width="8.7109375" bestFit="1" customWidth="1"/>
    <col min="19" max="19" width="9" customWidth="1"/>
    <col min="20" max="20" width="9.5703125" customWidth="1"/>
    <col min="21" max="21" width="7.85546875" customWidth="1"/>
    <col min="22" max="23" width="8.5703125" customWidth="1"/>
    <col min="24" max="25" width="10.140625" customWidth="1"/>
    <col min="26" max="26" width="9.5703125" customWidth="1"/>
    <col min="27" max="27" width="12.5703125" bestFit="1" customWidth="1"/>
    <col min="28" max="28" width="14.140625" bestFit="1" customWidth="1"/>
  </cols>
  <sheetData>
    <row r="1" spans="2:27" ht="18.75" x14ac:dyDescent="0.25">
      <c r="E1" s="1"/>
      <c r="F1" s="2" t="s">
        <v>63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2:27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</row>
    <row r="3" spans="2:27" ht="48.75" customHeight="1" x14ac:dyDescent="0.25">
      <c r="B3" s="47"/>
      <c r="C3" s="47" t="s">
        <v>1</v>
      </c>
      <c r="D3" s="4" t="s">
        <v>2</v>
      </c>
      <c r="E3" s="47" t="s">
        <v>3</v>
      </c>
      <c r="F3" s="47" t="s">
        <v>47</v>
      </c>
      <c r="G3" s="47" t="s">
        <v>48</v>
      </c>
      <c r="H3" s="47" t="s">
        <v>49</v>
      </c>
      <c r="I3" s="47" t="s">
        <v>50</v>
      </c>
      <c r="J3" s="47" t="s">
        <v>51</v>
      </c>
      <c r="K3" s="47" t="s">
        <v>52</v>
      </c>
      <c r="L3" s="47" t="s">
        <v>11</v>
      </c>
      <c r="M3" s="47" t="s">
        <v>53</v>
      </c>
      <c r="N3" s="47" t="s">
        <v>54</v>
      </c>
      <c r="O3" s="48" t="s">
        <v>96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6" t="s">
        <v>20</v>
      </c>
      <c r="V3" s="6" t="s">
        <v>21</v>
      </c>
      <c r="W3" s="7" t="s">
        <v>22</v>
      </c>
      <c r="X3" s="49" t="s">
        <v>83</v>
      </c>
      <c r="Y3" s="49" t="s">
        <v>84</v>
      </c>
      <c r="Z3" s="49" t="s">
        <v>85</v>
      </c>
      <c r="AA3" s="50" t="s">
        <v>86</v>
      </c>
    </row>
    <row r="4" spans="2:27" x14ac:dyDescent="0.25">
      <c r="B4" s="8" t="s">
        <v>87</v>
      </c>
      <c r="C4" s="9" t="s">
        <v>23</v>
      </c>
      <c r="D4" s="10">
        <v>17</v>
      </c>
      <c r="E4" s="11">
        <v>19286.689999999999</v>
      </c>
      <c r="F4" s="13"/>
      <c r="G4" s="12">
        <v>300</v>
      </c>
      <c r="H4" s="13"/>
      <c r="I4" s="12"/>
      <c r="J4" s="12"/>
      <c r="K4" s="12"/>
      <c r="L4" s="12"/>
      <c r="M4" s="12"/>
      <c r="N4" s="12"/>
      <c r="O4" s="15">
        <f>SUM(E4:N4)</f>
        <v>19586.689999999999</v>
      </c>
      <c r="P4" s="12"/>
      <c r="Q4" s="12"/>
      <c r="R4" s="12"/>
      <c r="S4" s="12">
        <f t="shared" ref="S4:S19" si="0">(E4*0.07)</f>
        <v>1350.0683000000001</v>
      </c>
      <c r="T4" s="12">
        <v>3400.1570879999995</v>
      </c>
      <c r="U4" s="16"/>
      <c r="V4" s="17"/>
      <c r="W4" s="17"/>
      <c r="X4" s="17"/>
      <c r="Y4" s="17"/>
      <c r="Z4" s="17">
        <f>SUM(P4:Y4)</f>
        <v>4750.2253879999998</v>
      </c>
      <c r="AA4" s="18">
        <f>+O4-Z4</f>
        <v>14836.464612</v>
      </c>
    </row>
    <row r="5" spans="2:27" x14ac:dyDescent="0.25">
      <c r="B5" s="8" t="s">
        <v>87</v>
      </c>
      <c r="C5" s="9" t="s">
        <v>24</v>
      </c>
      <c r="D5" s="10">
        <v>14</v>
      </c>
      <c r="E5" s="11">
        <v>14917.51</v>
      </c>
      <c r="F5" s="13"/>
      <c r="G5" s="20">
        <v>300</v>
      </c>
      <c r="H5" s="13"/>
      <c r="I5" s="20"/>
      <c r="J5" s="20"/>
      <c r="K5" s="20"/>
      <c r="L5" s="20"/>
      <c r="M5" s="20"/>
      <c r="N5" s="20"/>
      <c r="O5" s="15">
        <f t="shared" ref="O5:O22" si="1">SUM(E5:N5)</f>
        <v>15217.51</v>
      </c>
      <c r="P5" s="20"/>
      <c r="Q5" s="20"/>
      <c r="R5" s="20"/>
      <c r="S5" s="12">
        <f t="shared" si="0"/>
        <v>1044.2257000000002</v>
      </c>
      <c r="T5" s="20">
        <v>2384.42164</v>
      </c>
      <c r="U5" s="22"/>
      <c r="V5" s="23"/>
      <c r="W5" s="23"/>
      <c r="X5" s="23"/>
      <c r="Y5" s="23"/>
      <c r="Z5" s="17">
        <f t="shared" ref="Z5:Z21" si="2">SUM(P5:Y5)</f>
        <v>3428.6473400000004</v>
      </c>
      <c r="AA5" s="18">
        <f t="shared" ref="AA5:AA22" si="3">+O5-Z5</f>
        <v>11788.862659999999</v>
      </c>
    </row>
    <row r="6" spans="2:27" x14ac:dyDescent="0.25">
      <c r="B6" s="8" t="s">
        <v>87</v>
      </c>
      <c r="C6" s="9" t="s">
        <v>25</v>
      </c>
      <c r="D6" s="10">
        <v>14</v>
      </c>
      <c r="E6" s="11">
        <v>14917.51</v>
      </c>
      <c r="F6" s="13"/>
      <c r="G6" s="20">
        <v>300</v>
      </c>
      <c r="H6" s="13"/>
      <c r="I6" s="20"/>
      <c r="J6" s="20"/>
      <c r="K6" s="20"/>
      <c r="L6" s="20"/>
      <c r="M6" s="20"/>
      <c r="N6" s="20"/>
      <c r="O6" s="15">
        <f t="shared" si="1"/>
        <v>15217.51</v>
      </c>
      <c r="P6" s="20"/>
      <c r="Q6" s="20"/>
      <c r="R6" s="20"/>
      <c r="S6" s="12">
        <f t="shared" si="0"/>
        <v>1044.2257000000002</v>
      </c>
      <c r="T6" s="20">
        <v>2384.42164</v>
      </c>
      <c r="U6" s="22"/>
      <c r="V6" s="23"/>
      <c r="W6" s="23"/>
      <c r="X6" s="23"/>
      <c r="Y6" s="23"/>
      <c r="Z6" s="17">
        <f t="shared" si="2"/>
        <v>3428.6473400000004</v>
      </c>
      <c r="AA6" s="18">
        <f t="shared" si="3"/>
        <v>11788.862659999999</v>
      </c>
    </row>
    <row r="7" spans="2:27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43">
        <v>900</v>
      </c>
      <c r="G7" s="43">
        <v>900</v>
      </c>
      <c r="H7" s="43">
        <v>900</v>
      </c>
      <c r="I7" s="13">
        <v>1000</v>
      </c>
      <c r="J7" s="20"/>
      <c r="K7" s="20">
        <v>750</v>
      </c>
      <c r="L7" s="13"/>
      <c r="M7" s="20"/>
      <c r="N7" s="20"/>
      <c r="O7" s="15">
        <f t="shared" si="1"/>
        <v>19472.099999999999</v>
      </c>
      <c r="P7" s="20"/>
      <c r="Q7" s="20"/>
      <c r="R7" s="20"/>
      <c r="S7" s="12">
        <f t="shared" si="0"/>
        <v>1051.547</v>
      </c>
      <c r="T7" s="20">
        <v>2779.3255199999994</v>
      </c>
      <c r="U7" s="22"/>
      <c r="V7" s="23"/>
      <c r="W7" s="23"/>
      <c r="X7" s="23"/>
      <c r="Y7" s="23"/>
      <c r="Z7" s="17">
        <f t="shared" si="2"/>
        <v>3830.8725199999994</v>
      </c>
      <c r="AA7" s="18">
        <f t="shared" si="3"/>
        <v>15641.22748</v>
      </c>
    </row>
    <row r="8" spans="2:27" ht="15" customHeight="1" x14ac:dyDescent="0.25">
      <c r="B8" s="8" t="s">
        <v>88</v>
      </c>
      <c r="C8" s="9" t="s">
        <v>28</v>
      </c>
      <c r="D8" s="10">
        <v>13</v>
      </c>
      <c r="E8" s="11">
        <v>15022.1</v>
      </c>
      <c r="F8" s="43">
        <v>900</v>
      </c>
      <c r="G8" s="43">
        <v>900</v>
      </c>
      <c r="H8" s="43">
        <v>900</v>
      </c>
      <c r="I8" s="13">
        <v>1000</v>
      </c>
      <c r="J8" s="20"/>
      <c r="K8" s="20">
        <v>750</v>
      </c>
      <c r="L8" s="13"/>
      <c r="M8" s="20"/>
      <c r="N8" s="20"/>
      <c r="O8" s="15">
        <f t="shared" si="1"/>
        <v>19472.099999999999</v>
      </c>
      <c r="P8" s="20"/>
      <c r="Q8" s="20"/>
      <c r="R8" s="20"/>
      <c r="S8" s="12">
        <f t="shared" si="0"/>
        <v>1051.547</v>
      </c>
      <c r="T8" s="20">
        <v>2779.3255199999994</v>
      </c>
      <c r="U8" s="22"/>
      <c r="V8" s="23"/>
      <c r="W8" s="23"/>
      <c r="X8" s="23"/>
      <c r="Y8" s="23"/>
      <c r="Z8" s="17">
        <f t="shared" si="2"/>
        <v>3830.8725199999994</v>
      </c>
      <c r="AA8" s="18">
        <f t="shared" si="3"/>
        <v>15641.22748</v>
      </c>
    </row>
    <row r="9" spans="2:27" ht="15" customHeight="1" x14ac:dyDescent="0.25">
      <c r="B9" s="8" t="s">
        <v>88</v>
      </c>
      <c r="C9" s="9" t="s">
        <v>29</v>
      </c>
      <c r="D9" s="10">
        <v>9</v>
      </c>
      <c r="E9" s="11">
        <v>11333.03</v>
      </c>
      <c r="F9" s="43">
        <v>900</v>
      </c>
      <c r="G9" s="43">
        <v>900</v>
      </c>
      <c r="H9" s="43">
        <v>900</v>
      </c>
      <c r="I9" s="13">
        <v>1000</v>
      </c>
      <c r="J9" s="20"/>
      <c r="K9" s="20">
        <v>566</v>
      </c>
      <c r="L9" s="13"/>
      <c r="M9" s="20"/>
      <c r="N9" s="20"/>
      <c r="O9" s="15">
        <f t="shared" si="1"/>
        <v>15599.03</v>
      </c>
      <c r="P9" s="20"/>
      <c r="Q9" s="20"/>
      <c r="R9" s="20"/>
      <c r="S9" s="12">
        <f t="shared" si="0"/>
        <v>793.3121000000001</v>
      </c>
      <c r="T9" s="20">
        <v>1946.2255120000004</v>
      </c>
      <c r="U9" s="22"/>
      <c r="V9" s="23"/>
      <c r="W9" s="23">
        <v>2938.2</v>
      </c>
      <c r="X9" s="23"/>
      <c r="Y9" s="23"/>
      <c r="Z9" s="17">
        <f t="shared" si="2"/>
        <v>5677.7376120000008</v>
      </c>
      <c r="AA9" s="18">
        <f t="shared" si="3"/>
        <v>9921.2923879999998</v>
      </c>
    </row>
    <row r="10" spans="2:27" ht="15" customHeight="1" x14ac:dyDescent="0.25">
      <c r="B10" s="8" t="s">
        <v>89</v>
      </c>
      <c r="C10" s="9" t="s">
        <v>30</v>
      </c>
      <c r="D10" s="10">
        <v>10</v>
      </c>
      <c r="E10" s="11">
        <v>15424.35954953621</v>
      </c>
      <c r="F10" s="13">
        <v>1133</v>
      </c>
      <c r="G10" s="13">
        <v>1133</v>
      </c>
      <c r="H10" s="13">
        <v>1133</v>
      </c>
      <c r="I10" s="13">
        <v>1000</v>
      </c>
      <c r="J10" s="20"/>
      <c r="K10" s="20">
        <v>606</v>
      </c>
      <c r="L10" s="13"/>
      <c r="M10" s="20">
        <v>999</v>
      </c>
      <c r="N10" s="20"/>
      <c r="O10" s="15">
        <f t="shared" si="1"/>
        <v>21428.35954953621</v>
      </c>
      <c r="P10" s="20"/>
      <c r="Q10" s="20"/>
      <c r="R10" s="20">
        <f t="shared" ref="R10:R19" si="4">(E10*0.07)</f>
        <v>1079.7051684675348</v>
      </c>
      <c r="S10" s="12">
        <f t="shared" si="0"/>
        <v>1079.7051684675348</v>
      </c>
      <c r="T10" s="20">
        <v>3029.2865660509165</v>
      </c>
      <c r="U10" s="22"/>
      <c r="V10" s="23"/>
      <c r="W10" s="23"/>
      <c r="X10" s="23"/>
      <c r="Y10" s="23"/>
      <c r="Z10" s="17">
        <f t="shared" si="2"/>
        <v>5188.6969029859865</v>
      </c>
      <c r="AA10" s="18">
        <f t="shared" si="3"/>
        <v>16239.662646550223</v>
      </c>
    </row>
    <row r="11" spans="2:27" ht="15" customHeight="1" x14ac:dyDescent="0.25">
      <c r="B11" s="8" t="s">
        <v>89</v>
      </c>
      <c r="C11" s="9" t="s">
        <v>31</v>
      </c>
      <c r="D11" s="10">
        <v>8</v>
      </c>
      <c r="E11" s="11">
        <v>13360.854858749999</v>
      </c>
      <c r="F11" s="13">
        <v>1133</v>
      </c>
      <c r="G11" s="13">
        <v>1133</v>
      </c>
      <c r="H11" s="13">
        <v>1133</v>
      </c>
      <c r="I11" s="13">
        <v>1000</v>
      </c>
      <c r="J11" s="12"/>
      <c r="K11" s="20">
        <v>525</v>
      </c>
      <c r="L11" s="13">
        <f>225</f>
        <v>225</v>
      </c>
      <c r="M11" s="13">
        <v>925</v>
      </c>
      <c r="N11" s="13"/>
      <c r="O11" s="15">
        <f t="shared" si="1"/>
        <v>19434.854858749997</v>
      </c>
      <c r="P11" s="20">
        <f t="shared" ref="P11:P18" si="5">(E11*0.01)</f>
        <v>133.6085485875</v>
      </c>
      <c r="Q11" s="20">
        <f>1000</f>
        <v>1000</v>
      </c>
      <c r="R11" s="20">
        <f t="shared" si="4"/>
        <v>935.2598401125</v>
      </c>
      <c r="S11" s="12">
        <f t="shared" si="0"/>
        <v>935.2598401125</v>
      </c>
      <c r="T11" s="20">
        <v>2578.6422627779998</v>
      </c>
      <c r="U11" s="22"/>
      <c r="V11" s="23"/>
      <c r="W11" s="23"/>
      <c r="X11" s="23">
        <f>966.64</f>
        <v>966.64</v>
      </c>
      <c r="Y11" s="23"/>
      <c r="Z11" s="17">
        <f t="shared" si="2"/>
        <v>6549.4104915905</v>
      </c>
      <c r="AA11" s="18">
        <f t="shared" si="3"/>
        <v>12885.444367159496</v>
      </c>
    </row>
    <row r="12" spans="2:27" ht="22.5" x14ac:dyDescent="0.25">
      <c r="B12" s="8" t="s">
        <v>89</v>
      </c>
      <c r="C12" s="25" t="s">
        <v>32</v>
      </c>
      <c r="D12" s="26">
        <v>7</v>
      </c>
      <c r="E12" s="11">
        <v>12482.481170250001</v>
      </c>
      <c r="F12" s="13">
        <v>1133</v>
      </c>
      <c r="G12" s="13">
        <v>1133</v>
      </c>
      <c r="H12" s="13">
        <v>1133</v>
      </c>
      <c r="I12" s="13">
        <v>1000</v>
      </c>
      <c r="J12" s="12">
        <v>295</v>
      </c>
      <c r="K12" s="20">
        <v>491</v>
      </c>
      <c r="L12" s="20">
        <v>325</v>
      </c>
      <c r="M12" s="20">
        <v>893</v>
      </c>
      <c r="N12" s="20"/>
      <c r="O12" s="15">
        <f t="shared" si="1"/>
        <v>18885.481170250001</v>
      </c>
      <c r="P12" s="20">
        <f t="shared" si="5"/>
        <v>124.82481170250001</v>
      </c>
      <c r="Q12" s="20"/>
      <c r="R12" s="20">
        <f t="shared" si="4"/>
        <v>873.7736819175002</v>
      </c>
      <c r="S12" s="12">
        <f t="shared" si="0"/>
        <v>873.7736819175002</v>
      </c>
      <c r="T12" s="20">
        <v>2429.8054819654003</v>
      </c>
      <c r="U12" s="23"/>
      <c r="V12" s="22"/>
      <c r="W12" s="22"/>
      <c r="X12" s="22"/>
      <c r="Y12" s="22"/>
      <c r="Z12" s="17">
        <f t="shared" si="2"/>
        <v>4302.1776575029007</v>
      </c>
      <c r="AA12" s="18">
        <f t="shared" si="3"/>
        <v>14583.303512747101</v>
      </c>
    </row>
    <row r="13" spans="2:27" x14ac:dyDescent="0.25">
      <c r="B13" s="8" t="s">
        <v>89</v>
      </c>
      <c r="C13" s="25" t="s">
        <v>33</v>
      </c>
      <c r="D13" s="26">
        <v>7</v>
      </c>
      <c r="E13" s="11">
        <v>12482.481170250001</v>
      </c>
      <c r="F13" s="13">
        <v>1133</v>
      </c>
      <c r="G13" s="13">
        <v>1133</v>
      </c>
      <c r="H13" s="13">
        <v>1133</v>
      </c>
      <c r="I13" s="13">
        <v>1000</v>
      </c>
      <c r="J13" s="12">
        <v>295</v>
      </c>
      <c r="K13" s="20">
        <v>491</v>
      </c>
      <c r="L13" s="20"/>
      <c r="M13" s="20">
        <v>893</v>
      </c>
      <c r="N13" s="20">
        <v>800</v>
      </c>
      <c r="O13" s="15">
        <f t="shared" si="1"/>
        <v>19360.481170250001</v>
      </c>
      <c r="P13" s="20">
        <f t="shared" si="5"/>
        <v>124.82481170250001</v>
      </c>
      <c r="Q13" s="20"/>
      <c r="R13" s="20">
        <f t="shared" si="4"/>
        <v>873.7736819175002</v>
      </c>
      <c r="S13" s="12">
        <f t="shared" si="0"/>
        <v>873.7736819175002</v>
      </c>
      <c r="T13" s="20">
        <v>2445.8254819654003</v>
      </c>
      <c r="U13" s="22"/>
      <c r="V13" s="23"/>
      <c r="W13" s="22"/>
      <c r="X13" s="22"/>
      <c r="Y13" s="22"/>
      <c r="Z13" s="17">
        <f t="shared" si="2"/>
        <v>4318.1976575029003</v>
      </c>
      <c r="AA13" s="18">
        <f t="shared" si="3"/>
        <v>15042.283512747101</v>
      </c>
    </row>
    <row r="14" spans="2:27" x14ac:dyDescent="0.25">
      <c r="B14" s="8" t="s">
        <v>89</v>
      </c>
      <c r="C14" s="9" t="s">
        <v>35</v>
      </c>
      <c r="D14" s="10">
        <v>5</v>
      </c>
      <c r="E14" s="11">
        <v>10948.878517500001</v>
      </c>
      <c r="F14" s="13">
        <v>1133</v>
      </c>
      <c r="G14" s="13">
        <v>1133</v>
      </c>
      <c r="H14" s="13">
        <v>1133</v>
      </c>
      <c r="I14" s="13">
        <v>1000</v>
      </c>
      <c r="J14" s="13">
        <v>260</v>
      </c>
      <c r="K14" s="20"/>
      <c r="L14" s="13">
        <v>150</v>
      </c>
      <c r="M14" s="20">
        <v>838</v>
      </c>
      <c r="N14" s="20"/>
      <c r="O14" s="15">
        <f t="shared" si="1"/>
        <v>16595.878517500001</v>
      </c>
      <c r="P14" s="20">
        <f t="shared" si="5"/>
        <v>109.48878517500002</v>
      </c>
      <c r="Q14" s="20">
        <f>500</f>
        <v>500</v>
      </c>
      <c r="R14" s="20">
        <f t="shared" si="4"/>
        <v>766.42149622500017</v>
      </c>
      <c r="S14" s="12">
        <f t="shared" si="0"/>
        <v>766.42149622500017</v>
      </c>
      <c r="T14" s="20">
        <v>2002.7971553380003</v>
      </c>
      <c r="U14" s="22"/>
      <c r="V14" s="23"/>
      <c r="W14" s="23"/>
      <c r="X14" s="23"/>
      <c r="Y14" s="23"/>
      <c r="Z14" s="17">
        <f t="shared" si="2"/>
        <v>4145.1289329630008</v>
      </c>
      <c r="AA14" s="18">
        <f t="shared" si="3"/>
        <v>12450.749584536999</v>
      </c>
    </row>
    <row r="15" spans="2:27" x14ac:dyDescent="0.25">
      <c r="B15" s="8" t="s">
        <v>89</v>
      </c>
      <c r="C15" s="9" t="s">
        <v>36</v>
      </c>
      <c r="D15" s="10">
        <v>4</v>
      </c>
      <c r="E15" s="11">
        <v>9610.9981694999988</v>
      </c>
      <c r="F15" s="13">
        <v>1133</v>
      </c>
      <c r="G15" s="13">
        <v>1133</v>
      </c>
      <c r="H15" s="13">
        <v>1133</v>
      </c>
      <c r="I15" s="13">
        <v>1000</v>
      </c>
      <c r="J15" s="13">
        <v>230</v>
      </c>
      <c r="K15" s="20"/>
      <c r="L15" s="13">
        <v>150</v>
      </c>
      <c r="M15" s="20">
        <v>790</v>
      </c>
      <c r="N15" s="20"/>
      <c r="O15" s="15">
        <f t="shared" si="1"/>
        <v>15179.998169499999</v>
      </c>
      <c r="P15" s="20">
        <f t="shared" si="5"/>
        <v>96.109981694999988</v>
      </c>
      <c r="Q15" s="20"/>
      <c r="R15" s="20">
        <f t="shared" si="4"/>
        <v>672.76987186500003</v>
      </c>
      <c r="S15" s="12">
        <f t="shared" si="0"/>
        <v>672.76987186500003</v>
      </c>
      <c r="T15" s="20">
        <v>1708.6955130051999</v>
      </c>
      <c r="U15" s="22"/>
      <c r="V15" s="23"/>
      <c r="W15" s="23"/>
      <c r="X15" s="23"/>
      <c r="Y15" s="23"/>
      <c r="Z15" s="17">
        <f t="shared" si="2"/>
        <v>3150.3452384302</v>
      </c>
      <c r="AA15" s="18">
        <f t="shared" si="3"/>
        <v>12029.652931069799</v>
      </c>
    </row>
    <row r="16" spans="2:27" x14ac:dyDescent="0.25">
      <c r="B16" s="8" t="s">
        <v>89</v>
      </c>
      <c r="C16" s="9" t="s">
        <v>37</v>
      </c>
      <c r="D16" s="10">
        <v>4</v>
      </c>
      <c r="E16" s="11">
        <v>9610.9981694999988</v>
      </c>
      <c r="F16" s="13">
        <v>1133</v>
      </c>
      <c r="G16" s="13">
        <v>1133</v>
      </c>
      <c r="H16" s="13">
        <v>1133</v>
      </c>
      <c r="I16" s="13">
        <v>1000</v>
      </c>
      <c r="J16" s="13">
        <v>230</v>
      </c>
      <c r="K16" s="20"/>
      <c r="L16" s="13">
        <v>150</v>
      </c>
      <c r="M16" s="20">
        <v>790</v>
      </c>
      <c r="N16" s="20"/>
      <c r="O16" s="15">
        <f t="shared" si="1"/>
        <v>15179.998169499999</v>
      </c>
      <c r="P16" s="20">
        <f t="shared" si="5"/>
        <v>96.109981694999988</v>
      </c>
      <c r="Q16" s="20">
        <f>500</f>
        <v>500</v>
      </c>
      <c r="R16" s="20">
        <f t="shared" si="4"/>
        <v>672.76987186500003</v>
      </c>
      <c r="S16" s="12">
        <f t="shared" si="0"/>
        <v>672.76987186500003</v>
      </c>
      <c r="T16" s="20">
        <v>1708.6955130051999</v>
      </c>
      <c r="U16" s="22"/>
      <c r="V16" s="23"/>
      <c r="W16" s="23"/>
      <c r="X16" s="23"/>
      <c r="Y16" s="23"/>
      <c r="Z16" s="17">
        <f t="shared" si="2"/>
        <v>3650.3452384302</v>
      </c>
      <c r="AA16" s="18">
        <f t="shared" si="3"/>
        <v>11529.652931069799</v>
      </c>
    </row>
    <row r="17" spans="2:28" x14ac:dyDescent="0.25">
      <c r="B17" s="8" t="s">
        <v>89</v>
      </c>
      <c r="C17" s="9" t="s">
        <v>38</v>
      </c>
      <c r="D17" s="10">
        <v>2</v>
      </c>
      <c r="E17" s="11">
        <v>8024.8779607499991</v>
      </c>
      <c r="F17" s="13">
        <v>1133</v>
      </c>
      <c r="G17" s="13">
        <v>1133</v>
      </c>
      <c r="H17" s="13">
        <v>1133</v>
      </c>
      <c r="I17" s="13">
        <v>1000</v>
      </c>
      <c r="J17" s="13">
        <v>190</v>
      </c>
      <c r="K17" s="20"/>
      <c r="L17" s="13">
        <v>150</v>
      </c>
      <c r="M17" s="20">
        <v>733</v>
      </c>
      <c r="N17" s="20">
        <v>800</v>
      </c>
      <c r="O17" s="15">
        <f t="shared" si="1"/>
        <v>14296.87796075</v>
      </c>
      <c r="P17" s="20">
        <f t="shared" si="5"/>
        <v>80.248779607499998</v>
      </c>
      <c r="Q17" s="20">
        <f>1000</f>
        <v>1000</v>
      </c>
      <c r="R17" s="20">
        <f t="shared" si="4"/>
        <v>561.74145725250003</v>
      </c>
      <c r="S17" s="12">
        <f t="shared" si="0"/>
        <v>561.74145725250003</v>
      </c>
      <c r="T17" s="20">
        <v>1444.9806364162</v>
      </c>
      <c r="U17" s="22"/>
      <c r="V17" s="23"/>
      <c r="W17" s="23"/>
      <c r="X17" s="23"/>
      <c r="Y17" s="23"/>
      <c r="Z17" s="17">
        <f t="shared" si="2"/>
        <v>3648.7123305287</v>
      </c>
      <c r="AA17" s="18">
        <f t="shared" si="3"/>
        <v>10648.1656302213</v>
      </c>
    </row>
    <row r="18" spans="2:28" x14ac:dyDescent="0.25">
      <c r="B18" s="8" t="s">
        <v>89</v>
      </c>
      <c r="C18" s="9" t="s">
        <v>39</v>
      </c>
      <c r="D18" s="10">
        <v>2</v>
      </c>
      <c r="E18" s="11">
        <v>8024.8779607499991</v>
      </c>
      <c r="F18" s="13">
        <v>1133</v>
      </c>
      <c r="G18" s="13">
        <v>1133</v>
      </c>
      <c r="H18" s="13">
        <v>1133</v>
      </c>
      <c r="I18" s="13">
        <v>1000</v>
      </c>
      <c r="J18" s="13">
        <v>190</v>
      </c>
      <c r="K18" s="20"/>
      <c r="L18" s="13">
        <v>150</v>
      </c>
      <c r="M18" s="20">
        <v>733</v>
      </c>
      <c r="N18" s="20"/>
      <c r="O18" s="15">
        <f t="shared" si="1"/>
        <v>13496.87796075</v>
      </c>
      <c r="P18" s="20">
        <f t="shared" si="5"/>
        <v>80.248779607499998</v>
      </c>
      <c r="Q18" s="20">
        <f>500</f>
        <v>500</v>
      </c>
      <c r="R18" s="20">
        <f t="shared" si="4"/>
        <v>561.74145725250003</v>
      </c>
      <c r="S18" s="12">
        <f t="shared" si="0"/>
        <v>561.74145725250003</v>
      </c>
      <c r="T18" s="20">
        <v>1359.5406364162002</v>
      </c>
      <c r="U18" s="22"/>
      <c r="V18" s="23"/>
      <c r="W18" s="23"/>
      <c r="X18" s="23">
        <f>966.64</f>
        <v>966.64</v>
      </c>
      <c r="Y18" s="23">
        <f>1933.28</f>
        <v>1933.28</v>
      </c>
      <c r="Z18" s="17">
        <f t="shared" si="2"/>
        <v>5963.1923305287</v>
      </c>
      <c r="AA18" s="18">
        <f t="shared" si="3"/>
        <v>7533.6856302213</v>
      </c>
    </row>
    <row r="19" spans="2:28" ht="22.5" x14ac:dyDescent="0.25">
      <c r="B19" s="8" t="s">
        <v>89</v>
      </c>
      <c r="C19" s="9" t="s">
        <v>41</v>
      </c>
      <c r="D19" s="10">
        <v>1</v>
      </c>
      <c r="E19" s="11">
        <v>7531.9769857499987</v>
      </c>
      <c r="F19" s="13">
        <v>1133</v>
      </c>
      <c r="G19" s="13">
        <v>1133</v>
      </c>
      <c r="H19" s="13">
        <v>1133</v>
      </c>
      <c r="I19" s="13">
        <v>1000</v>
      </c>
      <c r="J19" s="13">
        <v>180</v>
      </c>
      <c r="K19" s="20"/>
      <c r="L19" s="13"/>
      <c r="M19" s="20">
        <v>715</v>
      </c>
      <c r="N19" s="20"/>
      <c r="O19" s="15">
        <f t="shared" si="1"/>
        <v>12825.97698575</v>
      </c>
      <c r="P19" s="20"/>
      <c r="Q19" s="20"/>
      <c r="R19" s="20">
        <f t="shared" si="4"/>
        <v>527.23838900249996</v>
      </c>
      <c r="S19" s="12">
        <f t="shared" si="0"/>
        <v>527.23838900249996</v>
      </c>
      <c r="T19" s="20">
        <v>1219.2265881562</v>
      </c>
      <c r="U19" s="22"/>
      <c r="V19" s="23"/>
      <c r="W19" s="23">
        <v>2735.66</v>
      </c>
      <c r="X19" s="23"/>
      <c r="Y19" s="23"/>
      <c r="Z19" s="17">
        <f t="shared" si="2"/>
        <v>5009.3633661612002</v>
      </c>
      <c r="AA19" s="18">
        <f t="shared" si="3"/>
        <v>7816.6136195887993</v>
      </c>
    </row>
    <row r="20" spans="2:28" ht="22.5" x14ac:dyDescent="0.25">
      <c r="B20" s="8" t="s">
        <v>90</v>
      </c>
      <c r="C20" s="9" t="s">
        <v>42</v>
      </c>
      <c r="D20" s="10"/>
      <c r="E20" s="11">
        <v>6069.96</v>
      </c>
      <c r="F20" s="30"/>
      <c r="G20" s="30"/>
      <c r="H20" s="30"/>
      <c r="I20" s="27"/>
      <c r="J20" s="28"/>
      <c r="K20" s="28"/>
      <c r="L20" s="28"/>
      <c r="M20" s="20"/>
      <c r="N20" s="20"/>
      <c r="O20" s="15">
        <f t="shared" si="1"/>
        <v>6069.96</v>
      </c>
      <c r="P20" s="20"/>
      <c r="Q20" s="28"/>
      <c r="R20" s="28"/>
      <c r="S20" s="12"/>
      <c r="T20" s="20">
        <v>527.76699999999994</v>
      </c>
      <c r="U20" s="22"/>
      <c r="V20" s="23"/>
      <c r="W20" s="23"/>
      <c r="X20" s="23"/>
      <c r="Y20" s="23"/>
      <c r="Z20" s="17">
        <f t="shared" si="2"/>
        <v>527.76699999999994</v>
      </c>
      <c r="AA20" s="18">
        <f t="shared" si="3"/>
        <v>5542.1930000000002</v>
      </c>
    </row>
    <row r="21" spans="2:28" x14ac:dyDescent="0.25">
      <c r="B21" s="8" t="s">
        <v>90</v>
      </c>
      <c r="C21" s="25" t="s">
        <v>43</v>
      </c>
      <c r="D21" s="31"/>
      <c r="E21" s="32">
        <v>3018.5</v>
      </c>
      <c r="F21" s="30"/>
      <c r="G21" s="30"/>
      <c r="H21" s="30"/>
      <c r="I21" s="27"/>
      <c r="J21" s="28"/>
      <c r="K21" s="28"/>
      <c r="L21" s="28"/>
      <c r="M21" s="20"/>
      <c r="N21" s="20"/>
      <c r="O21" s="15">
        <f t="shared" si="1"/>
        <v>3018.5</v>
      </c>
      <c r="P21" s="20"/>
      <c r="Q21" s="28"/>
      <c r="R21" s="28"/>
      <c r="S21" s="12"/>
      <c r="T21" s="20">
        <v>176.47039999999998</v>
      </c>
      <c r="U21" s="22"/>
      <c r="V21" s="23"/>
      <c r="W21" s="23"/>
      <c r="X21" s="23"/>
      <c r="Y21" s="23"/>
      <c r="Z21" s="17">
        <f t="shared" si="2"/>
        <v>176.47039999999998</v>
      </c>
      <c r="AA21" s="18">
        <f t="shared" si="3"/>
        <v>2842.0295999999998</v>
      </c>
    </row>
    <row r="22" spans="2:28" x14ac:dyDescent="0.25">
      <c r="B22" s="8" t="s">
        <v>44</v>
      </c>
      <c r="C22" s="25" t="s">
        <v>45</v>
      </c>
      <c r="D22" s="31"/>
      <c r="E22" s="32">
        <f>24876/2</f>
        <v>12438</v>
      </c>
      <c r="F22" s="30"/>
      <c r="G22" s="30"/>
      <c r="H22" s="30"/>
      <c r="I22" s="27"/>
      <c r="J22" s="28"/>
      <c r="K22" s="28"/>
      <c r="L22" s="28"/>
      <c r="M22" s="28"/>
      <c r="N22" s="28"/>
      <c r="O22" s="15">
        <f t="shared" si="1"/>
        <v>12438</v>
      </c>
      <c r="P22" s="28"/>
      <c r="Q22" s="28"/>
      <c r="R22" s="28"/>
      <c r="S22" s="32"/>
      <c r="T22" s="28">
        <v>1936</v>
      </c>
      <c r="U22" s="33"/>
      <c r="V22" s="34"/>
      <c r="W22" s="34"/>
      <c r="X22" s="34"/>
      <c r="Y22" s="34"/>
      <c r="Z22" s="17">
        <f t="shared" ref="Z22" si="6">SUM(P22:Y22)</f>
        <v>1936</v>
      </c>
      <c r="AA22" s="18">
        <f t="shared" si="3"/>
        <v>10502</v>
      </c>
    </row>
    <row r="23" spans="2:28" ht="15.75" thickBot="1" x14ac:dyDescent="0.3">
      <c r="B23" s="35" t="s">
        <v>46</v>
      </c>
      <c r="C23" s="36"/>
      <c r="D23" s="37"/>
      <c r="E23" s="38">
        <f t="shared" ref="E23:O23" si="7">SUM(E4:E22)</f>
        <v>219528.18451253616</v>
      </c>
      <c r="F23" s="38">
        <f t="shared" si="7"/>
        <v>14030</v>
      </c>
      <c r="G23" s="38">
        <f t="shared" si="7"/>
        <v>14930</v>
      </c>
      <c r="H23" s="38">
        <f t="shared" si="7"/>
        <v>14030</v>
      </c>
      <c r="I23" s="38">
        <f t="shared" si="7"/>
        <v>13000</v>
      </c>
      <c r="J23" s="38">
        <f t="shared" si="7"/>
        <v>1870</v>
      </c>
      <c r="K23" s="38">
        <f t="shared" si="7"/>
        <v>4179</v>
      </c>
      <c r="L23" s="38">
        <f t="shared" si="7"/>
        <v>1300</v>
      </c>
      <c r="M23" s="38">
        <f t="shared" si="7"/>
        <v>8309</v>
      </c>
      <c r="N23" s="38">
        <f t="shared" si="7"/>
        <v>1600</v>
      </c>
      <c r="O23" s="38">
        <f t="shared" si="7"/>
        <v>292776.18451253622</v>
      </c>
      <c r="P23" s="38">
        <f t="shared" ref="P23:AA23" si="8">SUM(P4:P22)</f>
        <v>845.4644797725</v>
      </c>
      <c r="Q23" s="38">
        <f t="shared" si="8"/>
        <v>3500</v>
      </c>
      <c r="R23" s="38">
        <f t="shared" si="8"/>
        <v>7525.194915877536</v>
      </c>
      <c r="S23" s="38">
        <f t="shared" si="8"/>
        <v>13860.120715877538</v>
      </c>
      <c r="T23" s="38">
        <f>SUM(T4:T22)</f>
        <v>38241.610155096714</v>
      </c>
      <c r="U23" s="38">
        <f t="shared" si="8"/>
        <v>0</v>
      </c>
      <c r="V23" s="38">
        <f t="shared" si="8"/>
        <v>0</v>
      </c>
      <c r="W23" s="38">
        <f t="shared" si="8"/>
        <v>5673.86</v>
      </c>
      <c r="X23" s="38">
        <f t="shared" si="8"/>
        <v>1933.28</v>
      </c>
      <c r="Y23" s="38">
        <f t="shared" si="8"/>
        <v>1933.28</v>
      </c>
      <c r="Z23" s="38">
        <f t="shared" si="8"/>
        <v>73512.810266624307</v>
      </c>
      <c r="AA23" s="38">
        <f t="shared" si="8"/>
        <v>219263.37424591195</v>
      </c>
      <c r="AB23" s="19"/>
    </row>
    <row r="24" spans="2:28" x14ac:dyDescent="0.25"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</row>
    <row r="25" spans="2:28" x14ac:dyDescent="0.25">
      <c r="B25" s="42"/>
      <c r="E25" s="40"/>
    </row>
    <row r="26" spans="2:28" x14ac:dyDescent="0.25">
      <c r="B26" s="42"/>
      <c r="E26" s="40"/>
    </row>
    <row r="27" spans="2:28" x14ac:dyDescent="0.25">
      <c r="B27" s="42"/>
      <c r="E27" s="40"/>
    </row>
    <row r="28" spans="2:28" x14ac:dyDescent="0.25">
      <c r="B28" s="42"/>
      <c r="E28" s="40"/>
    </row>
    <row r="29" spans="2:28" x14ac:dyDescent="0.25">
      <c r="B29" t="s">
        <v>87</v>
      </c>
      <c r="C29" t="s">
        <v>91</v>
      </c>
      <c r="E29" s="40"/>
      <c r="AA29" s="19"/>
    </row>
    <row r="30" spans="2:28" x14ac:dyDescent="0.25">
      <c r="B30" t="s">
        <v>88</v>
      </c>
      <c r="C30" t="s">
        <v>92</v>
      </c>
      <c r="AA30" s="19"/>
    </row>
    <row r="31" spans="2:28" x14ac:dyDescent="0.25">
      <c r="B31" t="s">
        <v>89</v>
      </c>
      <c r="C31" t="s">
        <v>93</v>
      </c>
      <c r="AA31" s="19"/>
    </row>
    <row r="32" spans="2:28" x14ac:dyDescent="0.25">
      <c r="B32" t="s">
        <v>90</v>
      </c>
      <c r="C32" t="s">
        <v>94</v>
      </c>
      <c r="AA32" s="19"/>
    </row>
    <row r="33" spans="2:3" x14ac:dyDescent="0.25">
      <c r="B33" t="s">
        <v>44</v>
      </c>
      <c r="C33" t="s">
        <v>95</v>
      </c>
    </row>
  </sheetData>
  <pageMargins left="0" right="0.70866141732283472" top="0" bottom="0" header="0.31496062992125984" footer="0.31496062992125984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workbookViewId="0">
      <selection activeCell="C4" sqref="C4:AB22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10.140625" customWidth="1"/>
    <col min="7" max="7" width="8.85546875" customWidth="1"/>
    <col min="8" max="8" width="9.7109375" customWidth="1"/>
    <col min="9" max="9" width="9" customWidth="1"/>
    <col min="10" max="11" width="8.85546875" customWidth="1"/>
    <col min="12" max="14" width="8.7109375" customWidth="1"/>
    <col min="15" max="15" width="9.5703125" bestFit="1" customWidth="1"/>
    <col min="16" max="16" width="12.5703125" bestFit="1" customWidth="1"/>
    <col min="17" max="17" width="7.42578125" customWidth="1"/>
    <col min="18" max="19" width="8.7109375" bestFit="1" customWidth="1"/>
    <col min="20" max="20" width="9" customWidth="1"/>
    <col min="21" max="21" width="9.5703125" customWidth="1"/>
    <col min="22" max="22" width="7.85546875" customWidth="1"/>
    <col min="23" max="24" width="8.5703125" customWidth="1"/>
    <col min="25" max="26" width="10.140625" customWidth="1"/>
    <col min="27" max="27" width="9.5703125" customWidth="1"/>
    <col min="28" max="28" width="12.5703125" bestFit="1" customWidth="1"/>
    <col min="29" max="29" width="14.140625" bestFit="1" customWidth="1"/>
  </cols>
  <sheetData>
    <row r="1" spans="2:28" ht="18.75" x14ac:dyDescent="0.25">
      <c r="E1" s="1"/>
      <c r="F1" s="2" t="s">
        <v>64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8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28" ht="48.75" customHeight="1" x14ac:dyDescent="0.25">
      <c r="B3" s="47"/>
      <c r="C3" s="47" t="s">
        <v>1</v>
      </c>
      <c r="D3" s="4" t="s">
        <v>2</v>
      </c>
      <c r="E3" s="47" t="s">
        <v>3</v>
      </c>
      <c r="F3" s="47" t="s">
        <v>4</v>
      </c>
      <c r="G3" s="47" t="s">
        <v>5</v>
      </c>
      <c r="H3" s="47" t="s">
        <v>7</v>
      </c>
      <c r="I3" s="47" t="s">
        <v>8</v>
      </c>
      <c r="J3" s="47" t="s">
        <v>9</v>
      </c>
      <c r="K3" s="47" t="s">
        <v>10</v>
      </c>
      <c r="L3" s="47" t="s">
        <v>11</v>
      </c>
      <c r="M3" s="47" t="s">
        <v>12</v>
      </c>
      <c r="N3" s="47" t="s">
        <v>13</v>
      </c>
      <c r="O3" s="47" t="s">
        <v>55</v>
      </c>
      <c r="P3" s="48" t="s">
        <v>96</v>
      </c>
      <c r="Q3" s="5" t="s">
        <v>15</v>
      </c>
      <c r="R3" s="5" t="s">
        <v>16</v>
      </c>
      <c r="S3" s="5" t="s">
        <v>17</v>
      </c>
      <c r="T3" s="5" t="s">
        <v>18</v>
      </c>
      <c r="U3" s="5" t="s">
        <v>19</v>
      </c>
      <c r="V3" s="6" t="s">
        <v>20</v>
      </c>
      <c r="W3" s="6" t="s">
        <v>21</v>
      </c>
      <c r="X3" s="7" t="s">
        <v>22</v>
      </c>
      <c r="Y3" s="49" t="s">
        <v>83</v>
      </c>
      <c r="Z3" s="49" t="s">
        <v>84</v>
      </c>
      <c r="AA3" s="49" t="s">
        <v>85</v>
      </c>
      <c r="AB3" s="50" t="s">
        <v>86</v>
      </c>
    </row>
    <row r="4" spans="2:28" x14ac:dyDescent="0.25">
      <c r="B4" s="8" t="s">
        <v>87</v>
      </c>
      <c r="C4" s="9" t="s">
        <v>23</v>
      </c>
      <c r="D4" s="10">
        <v>17</v>
      </c>
      <c r="E4" s="11">
        <v>19286.689999999999</v>
      </c>
      <c r="F4" s="13">
        <v>200</v>
      </c>
      <c r="G4" s="12"/>
      <c r="H4" s="13"/>
      <c r="I4" s="12"/>
      <c r="J4" s="12"/>
      <c r="K4" s="12"/>
      <c r="L4" s="12"/>
      <c r="M4" s="12"/>
      <c r="N4" s="14"/>
      <c r="O4" s="13">
        <f>(E4/15)*10</f>
        <v>12857.793333333331</v>
      </c>
      <c r="P4" s="15">
        <f>SUM(E4:O4)</f>
        <v>32344.48333333333</v>
      </c>
      <c r="Q4" s="12"/>
      <c r="R4" s="12"/>
      <c r="S4" s="12"/>
      <c r="T4" s="12">
        <f>(E4*0.07)</f>
        <v>1350.0683000000001</v>
      </c>
      <c r="U4" s="12">
        <v>4978.1694999999982</v>
      </c>
      <c r="V4" s="16"/>
      <c r="W4" s="17"/>
      <c r="X4" s="17"/>
      <c r="Y4" s="17"/>
      <c r="Z4" s="17"/>
      <c r="AA4" s="17">
        <f t="shared" ref="AA4:AA22" si="0">SUM(Q4:Z4)</f>
        <v>6328.2377999999981</v>
      </c>
      <c r="AB4" s="18">
        <f t="shared" ref="AB4:AB22" si="1">+P4-AA4</f>
        <v>26016.245533333331</v>
      </c>
    </row>
    <row r="5" spans="2:28" x14ac:dyDescent="0.25">
      <c r="B5" s="8" t="s">
        <v>87</v>
      </c>
      <c r="C5" s="9" t="s">
        <v>24</v>
      </c>
      <c r="D5" s="10">
        <v>14</v>
      </c>
      <c r="E5" s="11">
        <v>14917.51</v>
      </c>
      <c r="F5" s="13">
        <v>200</v>
      </c>
      <c r="G5" s="20"/>
      <c r="H5" s="13"/>
      <c r="I5" s="20"/>
      <c r="J5" s="20"/>
      <c r="K5" s="20"/>
      <c r="L5" s="20"/>
      <c r="M5" s="20"/>
      <c r="N5" s="21"/>
      <c r="O5" s="13">
        <f t="shared" ref="O5:O6" si="2">(E5/15)*10</f>
        <v>9945.0066666666662</v>
      </c>
      <c r="P5" s="15">
        <f t="shared" ref="P5:P22" si="3">SUM(E5:O5)</f>
        <v>25062.516666666666</v>
      </c>
      <c r="Q5" s="20"/>
      <c r="R5" s="20"/>
      <c r="S5" s="20"/>
      <c r="T5" s="12">
        <f>(E5*0.07)</f>
        <v>1044.2257000000002</v>
      </c>
      <c r="U5" s="20">
        <v>3530.2987359999997</v>
      </c>
      <c r="V5" s="22"/>
      <c r="W5" s="23"/>
      <c r="X5" s="23"/>
      <c r="Y5" s="23"/>
      <c r="Z5" s="23"/>
      <c r="AA5" s="17">
        <f t="shared" si="0"/>
        <v>4574.5244359999997</v>
      </c>
      <c r="AB5" s="18">
        <f t="shared" si="1"/>
        <v>20487.992230666667</v>
      </c>
    </row>
    <row r="6" spans="2:28" x14ac:dyDescent="0.25">
      <c r="B6" s="8" t="s">
        <v>87</v>
      </c>
      <c r="C6" s="9" t="s">
        <v>25</v>
      </c>
      <c r="D6" s="10">
        <v>14</v>
      </c>
      <c r="E6" s="11">
        <v>14917.51</v>
      </c>
      <c r="F6" s="13">
        <v>200</v>
      </c>
      <c r="G6" s="20"/>
      <c r="H6" s="13"/>
      <c r="I6" s="20"/>
      <c r="J6" s="20"/>
      <c r="K6" s="20"/>
      <c r="L6" s="20"/>
      <c r="M6" s="20"/>
      <c r="N6" s="21"/>
      <c r="O6" s="13">
        <f t="shared" si="2"/>
        <v>9945.0066666666662</v>
      </c>
      <c r="P6" s="15">
        <f t="shared" si="3"/>
        <v>25062.516666666666</v>
      </c>
      <c r="Q6" s="20"/>
      <c r="R6" s="20"/>
      <c r="S6" s="20"/>
      <c r="T6" s="12">
        <f>(E6*0.07)</f>
        <v>1044.2257000000002</v>
      </c>
      <c r="U6" s="20">
        <v>3530.2987359999997</v>
      </c>
      <c r="V6" s="22"/>
      <c r="W6" s="23"/>
      <c r="X6" s="23"/>
      <c r="Y6" s="23"/>
      <c r="Z6" s="23"/>
      <c r="AA6" s="17">
        <f t="shared" si="0"/>
        <v>4574.5244359999997</v>
      </c>
      <c r="AB6" s="18">
        <f t="shared" si="1"/>
        <v>20487.992230666667</v>
      </c>
    </row>
    <row r="7" spans="2:28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13">
        <v>900</v>
      </c>
      <c r="G7" s="13">
        <v>900</v>
      </c>
      <c r="H7" s="13">
        <v>900</v>
      </c>
      <c r="I7" s="13">
        <v>3000</v>
      </c>
      <c r="J7" s="20">
        <v>3341.8</v>
      </c>
      <c r="K7" s="20">
        <v>733</v>
      </c>
      <c r="L7" s="13"/>
      <c r="M7" s="20"/>
      <c r="N7" s="21">
        <f t="shared" ref="N7:N16" si="4">(E7/15)*2</f>
        <v>2002.9466666666667</v>
      </c>
      <c r="O7" s="13"/>
      <c r="P7" s="15">
        <f t="shared" si="3"/>
        <v>26799.846666666665</v>
      </c>
      <c r="Q7" s="20"/>
      <c r="R7" s="20"/>
      <c r="S7" s="20"/>
      <c r="T7" s="12">
        <f t="shared" ref="T7:T19" si="5">(E7*0.07)</f>
        <v>1051.547</v>
      </c>
      <c r="U7" s="20">
        <v>3429.3885280000004</v>
      </c>
      <c r="V7" s="22"/>
      <c r="W7" s="23"/>
      <c r="X7" s="23"/>
      <c r="Y7" s="23"/>
      <c r="Z7" s="23"/>
      <c r="AA7" s="17">
        <f t="shared" si="0"/>
        <v>4480.935528</v>
      </c>
      <c r="AB7" s="18">
        <f t="shared" si="1"/>
        <v>22318.911138666663</v>
      </c>
    </row>
    <row r="8" spans="2:28" ht="15" customHeight="1" x14ac:dyDescent="0.25">
      <c r="B8" s="8" t="s">
        <v>88</v>
      </c>
      <c r="C8" s="9" t="s">
        <v>28</v>
      </c>
      <c r="D8" s="10">
        <v>13</v>
      </c>
      <c r="E8" s="11">
        <v>15022.1</v>
      </c>
      <c r="F8" s="13">
        <v>900</v>
      </c>
      <c r="G8" s="13">
        <v>900</v>
      </c>
      <c r="H8" s="13">
        <v>900</v>
      </c>
      <c r="I8" s="13">
        <v>3000</v>
      </c>
      <c r="J8" s="20">
        <v>3341.8</v>
      </c>
      <c r="K8" s="20">
        <v>733</v>
      </c>
      <c r="L8" s="13"/>
      <c r="M8" s="20"/>
      <c r="N8" s="21">
        <f t="shared" si="4"/>
        <v>2002.9466666666667</v>
      </c>
      <c r="O8" s="13"/>
      <c r="P8" s="15">
        <f t="shared" si="3"/>
        <v>26799.846666666665</v>
      </c>
      <c r="Q8" s="20"/>
      <c r="R8" s="20"/>
      <c r="S8" s="20"/>
      <c r="T8" s="12">
        <f t="shared" si="5"/>
        <v>1051.547</v>
      </c>
      <c r="U8" s="20">
        <v>3429.3885280000004</v>
      </c>
      <c r="V8" s="22"/>
      <c r="W8" s="23"/>
      <c r="X8" s="23"/>
      <c r="Y8" s="23"/>
      <c r="Z8" s="23"/>
      <c r="AA8" s="17">
        <f t="shared" si="0"/>
        <v>4480.935528</v>
      </c>
      <c r="AB8" s="18">
        <f t="shared" si="1"/>
        <v>22318.911138666663</v>
      </c>
    </row>
    <row r="9" spans="2:28" ht="15" customHeight="1" x14ac:dyDescent="0.25">
      <c r="B9" s="8" t="s">
        <v>88</v>
      </c>
      <c r="C9" s="9" t="s">
        <v>29</v>
      </c>
      <c r="D9" s="10">
        <v>9</v>
      </c>
      <c r="E9" s="11">
        <v>11333.03</v>
      </c>
      <c r="F9" s="13">
        <v>900</v>
      </c>
      <c r="G9" s="13">
        <v>900</v>
      </c>
      <c r="H9" s="13">
        <v>900</v>
      </c>
      <c r="I9" s="13">
        <v>1050</v>
      </c>
      <c r="J9" s="20">
        <v>1803.2</v>
      </c>
      <c r="K9" s="20">
        <v>675</v>
      </c>
      <c r="L9" s="13"/>
      <c r="M9" s="20"/>
      <c r="N9" s="21">
        <f t="shared" si="4"/>
        <v>1511.0706666666667</v>
      </c>
      <c r="O9" s="13"/>
      <c r="P9" s="15">
        <f t="shared" si="3"/>
        <v>19072.300666666666</v>
      </c>
      <c r="Q9" s="20"/>
      <c r="R9" s="20"/>
      <c r="S9" s="20"/>
      <c r="T9" s="12">
        <f t="shared" si="5"/>
        <v>793.3121000000001</v>
      </c>
      <c r="U9" s="20">
        <v>2124.9308192000003</v>
      </c>
      <c r="V9" s="22"/>
      <c r="W9" s="23"/>
      <c r="X9" s="23">
        <v>2938.2</v>
      </c>
      <c r="Y9" s="23"/>
      <c r="Z9" s="23"/>
      <c r="AA9" s="17">
        <f t="shared" si="0"/>
        <v>5856.4429192000007</v>
      </c>
      <c r="AB9" s="18">
        <f t="shared" si="1"/>
        <v>13215.857747466665</v>
      </c>
    </row>
    <row r="10" spans="2:28" ht="15" customHeight="1" x14ac:dyDescent="0.25">
      <c r="B10" s="8" t="s">
        <v>89</v>
      </c>
      <c r="C10" s="9" t="s">
        <v>30</v>
      </c>
      <c r="D10" s="10">
        <v>10</v>
      </c>
      <c r="E10" s="11">
        <v>15424.35954953621</v>
      </c>
      <c r="F10" s="13">
        <v>1100</v>
      </c>
      <c r="G10" s="13">
        <v>1133</v>
      </c>
      <c r="H10" s="13">
        <v>1140</v>
      </c>
      <c r="I10" s="13">
        <v>1150</v>
      </c>
      <c r="J10" s="20">
        <v>1934.8</v>
      </c>
      <c r="K10" s="20">
        <v>787</v>
      </c>
      <c r="L10" s="13"/>
      <c r="M10" s="20">
        <v>945</v>
      </c>
      <c r="N10" s="21">
        <f t="shared" si="4"/>
        <v>2056.5812732714944</v>
      </c>
      <c r="O10" s="13"/>
      <c r="P10" s="15">
        <f t="shared" si="3"/>
        <v>25670.740822807704</v>
      </c>
      <c r="Q10" s="20"/>
      <c r="R10" s="20"/>
      <c r="S10" s="20">
        <f t="shared" ref="S10:S19" si="6">(E10*0.07)</f>
        <v>1079.7051684675348</v>
      </c>
      <c r="T10" s="12">
        <f t="shared" si="5"/>
        <v>1079.7051684675348</v>
      </c>
      <c r="U10" s="20">
        <v>3264.7666037876443</v>
      </c>
      <c r="V10" s="22"/>
      <c r="W10" s="23"/>
      <c r="X10" s="23"/>
      <c r="Y10" s="23"/>
      <c r="Z10" s="23"/>
      <c r="AA10" s="17">
        <f t="shared" si="0"/>
        <v>5424.1769407227139</v>
      </c>
      <c r="AB10" s="18">
        <f t="shared" si="1"/>
        <v>20246.563882084989</v>
      </c>
    </row>
    <row r="11" spans="2:28" ht="15" customHeight="1" x14ac:dyDescent="0.25">
      <c r="B11" s="8" t="s">
        <v>89</v>
      </c>
      <c r="C11" s="9" t="s">
        <v>31</v>
      </c>
      <c r="D11" s="10">
        <v>8</v>
      </c>
      <c r="E11" s="11">
        <v>13360.854858749999</v>
      </c>
      <c r="F11" s="13">
        <v>1100</v>
      </c>
      <c r="G11" s="13">
        <v>1133</v>
      </c>
      <c r="H11" s="13">
        <v>1140</v>
      </c>
      <c r="I11" s="13">
        <v>1000</v>
      </c>
      <c r="J11" s="12">
        <v>1677.2</v>
      </c>
      <c r="K11" s="12">
        <f>662+100</f>
        <v>762</v>
      </c>
      <c r="L11" s="13">
        <f>225</f>
        <v>225</v>
      </c>
      <c r="M11" s="13">
        <v>838</v>
      </c>
      <c r="N11" s="21">
        <f t="shared" si="4"/>
        <v>1781.4473144999999</v>
      </c>
      <c r="O11" s="13"/>
      <c r="P11" s="15">
        <f t="shared" si="3"/>
        <v>23017.502173249999</v>
      </c>
      <c r="Q11" s="20">
        <f t="shared" ref="Q11:Q18" si="7">(E11*0.01)</f>
        <v>133.6085485875</v>
      </c>
      <c r="R11" s="20">
        <f>1000</f>
        <v>1000</v>
      </c>
      <c r="S11" s="20">
        <f t="shared" si="6"/>
        <v>935.2598401125</v>
      </c>
      <c r="T11" s="12">
        <f t="shared" si="5"/>
        <v>935.2598401125</v>
      </c>
      <c r="U11" s="20">
        <v>2736.5375869631998</v>
      </c>
      <c r="V11" s="22"/>
      <c r="W11" s="23"/>
      <c r="X11" s="23"/>
      <c r="Y11" s="23">
        <f>966.64</f>
        <v>966.64</v>
      </c>
      <c r="Z11" s="23"/>
      <c r="AA11" s="17">
        <f t="shared" si="0"/>
        <v>6707.3058157757005</v>
      </c>
      <c r="AB11" s="18">
        <f t="shared" si="1"/>
        <v>16310.196357474299</v>
      </c>
    </row>
    <row r="12" spans="2:28" ht="22.5" x14ac:dyDescent="0.25">
      <c r="B12" s="8" t="s">
        <v>89</v>
      </c>
      <c r="C12" s="25" t="s">
        <v>32</v>
      </c>
      <c r="D12" s="26">
        <v>7</v>
      </c>
      <c r="E12" s="11">
        <v>12482.481170250001</v>
      </c>
      <c r="F12" s="13">
        <v>1100</v>
      </c>
      <c r="G12" s="13">
        <v>1133</v>
      </c>
      <c r="H12" s="13">
        <v>1140</v>
      </c>
      <c r="I12" s="13"/>
      <c r="J12" s="12">
        <v>1565.2</v>
      </c>
      <c r="K12" s="12">
        <f>651+100</f>
        <v>751</v>
      </c>
      <c r="L12" s="20">
        <v>325</v>
      </c>
      <c r="M12" s="20">
        <v>793</v>
      </c>
      <c r="N12" s="21">
        <f t="shared" si="4"/>
        <v>1664.3308227000002</v>
      </c>
      <c r="O12" s="13"/>
      <c r="P12" s="15">
        <f t="shared" si="3"/>
        <v>20954.011992950003</v>
      </c>
      <c r="Q12" s="20">
        <f t="shared" si="7"/>
        <v>124.82481170250001</v>
      </c>
      <c r="R12" s="20"/>
      <c r="S12" s="20">
        <f t="shared" si="6"/>
        <v>873.7736819175002</v>
      </c>
      <c r="T12" s="12">
        <f t="shared" si="5"/>
        <v>873.7736819175002</v>
      </c>
      <c r="U12" s="20">
        <v>2411.4925738297607</v>
      </c>
      <c r="V12" s="23"/>
      <c r="W12" s="22"/>
      <c r="X12" s="22"/>
      <c r="Y12" s="22"/>
      <c r="Z12" s="22"/>
      <c r="AA12" s="17">
        <f t="shared" si="0"/>
        <v>4283.8647493672615</v>
      </c>
      <c r="AB12" s="18">
        <f t="shared" si="1"/>
        <v>16670.147243582742</v>
      </c>
    </row>
    <row r="13" spans="2:28" x14ac:dyDescent="0.25">
      <c r="B13" s="8" t="s">
        <v>89</v>
      </c>
      <c r="C13" s="25" t="s">
        <v>33</v>
      </c>
      <c r="D13" s="26">
        <v>7</v>
      </c>
      <c r="E13" s="11">
        <v>12482.481170250001</v>
      </c>
      <c r="F13" s="13">
        <v>1100</v>
      </c>
      <c r="G13" s="13">
        <v>1133</v>
      </c>
      <c r="H13" s="13">
        <v>1140</v>
      </c>
      <c r="I13" s="13"/>
      <c r="J13" s="12">
        <v>1565.2</v>
      </c>
      <c r="K13" s="12">
        <f>651+100</f>
        <v>751</v>
      </c>
      <c r="L13" s="20"/>
      <c r="M13" s="20">
        <v>793</v>
      </c>
      <c r="N13" s="21">
        <f t="shared" si="4"/>
        <v>1664.3308227000002</v>
      </c>
      <c r="O13" s="13"/>
      <c r="P13" s="15">
        <f t="shared" si="3"/>
        <v>20629.011992950003</v>
      </c>
      <c r="Q13" s="20">
        <f t="shared" si="7"/>
        <v>124.82481170250001</v>
      </c>
      <c r="R13" s="20"/>
      <c r="S13" s="20">
        <f t="shared" si="6"/>
        <v>873.7736819175002</v>
      </c>
      <c r="T13" s="12">
        <f t="shared" si="5"/>
        <v>873.7736819175002</v>
      </c>
      <c r="U13" s="20">
        <v>2342.0725738297606</v>
      </c>
      <c r="V13" s="22"/>
      <c r="W13" s="23"/>
      <c r="X13" s="22"/>
      <c r="Y13" s="22"/>
      <c r="Z13" s="22"/>
      <c r="AA13" s="17">
        <f t="shared" si="0"/>
        <v>4214.4447493672615</v>
      </c>
      <c r="AB13" s="18">
        <f t="shared" si="1"/>
        <v>16414.567243582744</v>
      </c>
    </row>
    <row r="14" spans="2:28" x14ac:dyDescent="0.25">
      <c r="B14" s="8" t="s">
        <v>89</v>
      </c>
      <c r="C14" s="9" t="s">
        <v>35</v>
      </c>
      <c r="D14" s="10">
        <v>5</v>
      </c>
      <c r="E14" s="11">
        <v>10948.878517500001</v>
      </c>
      <c r="F14" s="13">
        <v>1100</v>
      </c>
      <c r="G14" s="13">
        <v>1133</v>
      </c>
      <c r="H14" s="13">
        <v>1140</v>
      </c>
      <c r="I14" s="13"/>
      <c r="J14" s="13">
        <v>1241.8</v>
      </c>
      <c r="K14" s="13">
        <f>632+100</f>
        <v>732</v>
      </c>
      <c r="L14" s="13">
        <v>150</v>
      </c>
      <c r="M14" s="20">
        <v>713</v>
      </c>
      <c r="N14" s="21">
        <f t="shared" si="4"/>
        <v>1459.8504690000002</v>
      </c>
      <c r="O14" s="13"/>
      <c r="P14" s="15">
        <f t="shared" si="3"/>
        <v>18618.528986500001</v>
      </c>
      <c r="Q14" s="20">
        <f t="shared" si="7"/>
        <v>109.48878517500002</v>
      </c>
      <c r="R14" s="20">
        <f>500</f>
        <v>500</v>
      </c>
      <c r="S14" s="20">
        <f t="shared" si="6"/>
        <v>766.42149622500017</v>
      </c>
      <c r="T14" s="12">
        <f t="shared" si="5"/>
        <v>766.42149622500017</v>
      </c>
      <c r="U14" s="20">
        <v>1979.5842254272006</v>
      </c>
      <c r="V14" s="22"/>
      <c r="W14" s="23"/>
      <c r="X14" s="23"/>
      <c r="Y14" s="23"/>
      <c r="Z14" s="23"/>
      <c r="AA14" s="17">
        <f t="shared" si="0"/>
        <v>4121.9160030522016</v>
      </c>
      <c r="AB14" s="18">
        <f t="shared" si="1"/>
        <v>14496.6129834478</v>
      </c>
    </row>
    <row r="15" spans="2:28" x14ac:dyDescent="0.25">
      <c r="B15" s="8" t="s">
        <v>89</v>
      </c>
      <c r="C15" s="9" t="s">
        <v>36</v>
      </c>
      <c r="D15" s="10">
        <v>4</v>
      </c>
      <c r="E15" s="11">
        <v>9610.9981694999988</v>
      </c>
      <c r="F15" s="13">
        <v>1100</v>
      </c>
      <c r="G15" s="13">
        <v>1133</v>
      </c>
      <c r="H15" s="13">
        <v>1140</v>
      </c>
      <c r="I15" s="13"/>
      <c r="J15" s="13">
        <v>845.6</v>
      </c>
      <c r="K15" s="13">
        <f>615+100</f>
        <v>715</v>
      </c>
      <c r="L15" s="13">
        <v>150</v>
      </c>
      <c r="M15" s="20">
        <v>644</v>
      </c>
      <c r="N15" s="21">
        <f t="shared" si="4"/>
        <v>1281.4664225999998</v>
      </c>
      <c r="O15" s="13"/>
      <c r="P15" s="15">
        <f t="shared" si="3"/>
        <v>16620.0645921</v>
      </c>
      <c r="Q15" s="20">
        <f t="shared" si="7"/>
        <v>96.109981694999988</v>
      </c>
      <c r="R15" s="20"/>
      <c r="S15" s="20">
        <f t="shared" si="6"/>
        <v>672.76987186500003</v>
      </c>
      <c r="T15" s="12">
        <f t="shared" si="5"/>
        <v>672.76987186500003</v>
      </c>
      <c r="U15" s="20">
        <v>1623.2626069388796</v>
      </c>
      <c r="V15" s="22"/>
      <c r="W15" s="23"/>
      <c r="X15" s="23"/>
      <c r="Y15" s="23"/>
      <c r="Z15" s="23"/>
      <c r="AA15" s="17">
        <f t="shared" si="0"/>
        <v>3064.9123323638796</v>
      </c>
      <c r="AB15" s="18">
        <f t="shared" si="1"/>
        <v>13555.15225973612</v>
      </c>
    </row>
    <row r="16" spans="2:28" x14ac:dyDescent="0.25">
      <c r="B16" s="8" t="s">
        <v>89</v>
      </c>
      <c r="C16" s="9" t="s">
        <v>37</v>
      </c>
      <c r="D16" s="10">
        <v>4</v>
      </c>
      <c r="E16" s="11">
        <v>9610.9981694999988</v>
      </c>
      <c r="F16" s="13">
        <v>1100</v>
      </c>
      <c r="G16" s="13">
        <v>1133</v>
      </c>
      <c r="H16" s="13">
        <v>1140</v>
      </c>
      <c r="I16" s="13"/>
      <c r="J16" s="13">
        <v>845.6</v>
      </c>
      <c r="K16" s="13">
        <f>615+100</f>
        <v>715</v>
      </c>
      <c r="L16" s="13">
        <v>150</v>
      </c>
      <c r="M16" s="20">
        <v>644</v>
      </c>
      <c r="N16" s="21">
        <f t="shared" si="4"/>
        <v>1281.4664225999998</v>
      </c>
      <c r="O16" s="13"/>
      <c r="P16" s="15">
        <f t="shared" si="3"/>
        <v>16620.0645921</v>
      </c>
      <c r="Q16" s="20">
        <f t="shared" si="7"/>
        <v>96.109981694999988</v>
      </c>
      <c r="R16" s="20">
        <f>500</f>
        <v>500</v>
      </c>
      <c r="S16" s="20">
        <f t="shared" si="6"/>
        <v>672.76987186500003</v>
      </c>
      <c r="T16" s="12">
        <f t="shared" si="5"/>
        <v>672.76987186500003</v>
      </c>
      <c r="U16" s="20">
        <v>1623.2626069388796</v>
      </c>
      <c r="V16" s="22"/>
      <c r="W16" s="23"/>
      <c r="X16" s="23"/>
      <c r="Y16" s="23"/>
      <c r="Z16" s="23"/>
      <c r="AA16" s="17">
        <f t="shared" si="0"/>
        <v>3564.9123323638796</v>
      </c>
      <c r="AB16" s="18">
        <f t="shared" si="1"/>
        <v>13055.15225973612</v>
      </c>
    </row>
    <row r="17" spans="2:29" x14ac:dyDescent="0.25">
      <c r="B17" s="8" t="s">
        <v>89</v>
      </c>
      <c r="C17" s="9" t="s">
        <v>38</v>
      </c>
      <c r="D17" s="10">
        <v>2</v>
      </c>
      <c r="E17" s="11">
        <v>8024.8779607499991</v>
      </c>
      <c r="F17" s="13">
        <v>1100</v>
      </c>
      <c r="G17" s="13">
        <v>1133</v>
      </c>
      <c r="H17" s="13">
        <v>1140</v>
      </c>
      <c r="I17" s="13"/>
      <c r="J17" s="13">
        <v>704.2</v>
      </c>
      <c r="K17" s="13">
        <f>595+100</f>
        <v>695</v>
      </c>
      <c r="L17" s="13">
        <v>150</v>
      </c>
      <c r="M17" s="20">
        <v>561</v>
      </c>
      <c r="N17" s="21"/>
      <c r="O17" s="13"/>
      <c r="P17" s="15">
        <f t="shared" si="3"/>
        <v>13508.077960750001</v>
      </c>
      <c r="Q17" s="20">
        <f t="shared" si="7"/>
        <v>80.248779607499998</v>
      </c>
      <c r="R17" s="20">
        <f>1000</f>
        <v>1000</v>
      </c>
      <c r="S17" s="20">
        <f t="shared" si="6"/>
        <v>561.74145725250003</v>
      </c>
      <c r="T17" s="12">
        <f t="shared" si="5"/>
        <v>561.74145725250003</v>
      </c>
      <c r="U17" s="20">
        <v>1121.5047964162</v>
      </c>
      <c r="V17" s="22"/>
      <c r="W17" s="23"/>
      <c r="X17" s="23"/>
      <c r="Y17" s="23"/>
      <c r="Z17" s="23"/>
      <c r="AA17" s="17">
        <f t="shared" si="0"/>
        <v>3325.2364905287</v>
      </c>
      <c r="AB17" s="18">
        <f t="shared" si="1"/>
        <v>10182.841470221301</v>
      </c>
    </row>
    <row r="18" spans="2:29" x14ac:dyDescent="0.25">
      <c r="B18" s="8" t="s">
        <v>89</v>
      </c>
      <c r="C18" s="9" t="s">
        <v>39</v>
      </c>
      <c r="D18" s="10">
        <v>2</v>
      </c>
      <c r="E18" s="11">
        <v>8024.8779607499991</v>
      </c>
      <c r="F18" s="13">
        <v>1100</v>
      </c>
      <c r="G18" s="13">
        <v>1133</v>
      </c>
      <c r="H18" s="13">
        <v>1140</v>
      </c>
      <c r="I18" s="13"/>
      <c r="J18" s="13">
        <v>704.2</v>
      </c>
      <c r="K18" s="13">
        <f>595+100</f>
        <v>695</v>
      </c>
      <c r="L18" s="13">
        <v>150</v>
      </c>
      <c r="M18" s="20">
        <v>561</v>
      </c>
      <c r="N18" s="21">
        <f t="shared" ref="N18:N19" si="8">(E18/15)*2</f>
        <v>1069.9837280999998</v>
      </c>
      <c r="O18" s="13"/>
      <c r="P18" s="15">
        <f t="shared" si="3"/>
        <v>14578.061688850001</v>
      </c>
      <c r="Q18" s="20">
        <f t="shared" si="7"/>
        <v>80.248779607499998</v>
      </c>
      <c r="R18" s="20">
        <f>500</f>
        <v>500</v>
      </c>
      <c r="S18" s="20">
        <f t="shared" si="6"/>
        <v>561.74145725250003</v>
      </c>
      <c r="T18" s="12">
        <f t="shared" si="5"/>
        <v>561.74145725250003</v>
      </c>
      <c r="U18" s="20">
        <v>1235.7790585772798</v>
      </c>
      <c r="V18" s="22"/>
      <c r="W18" s="23"/>
      <c r="X18" s="23"/>
      <c r="Y18" s="23">
        <f>966.64</f>
        <v>966.64</v>
      </c>
      <c r="Z18" s="23">
        <f>1933.28</f>
        <v>1933.28</v>
      </c>
      <c r="AA18" s="17">
        <f t="shared" si="0"/>
        <v>5839.4307526897801</v>
      </c>
      <c r="AB18" s="18">
        <f t="shared" si="1"/>
        <v>8738.6309361602216</v>
      </c>
    </row>
    <row r="19" spans="2:29" ht="22.5" x14ac:dyDescent="0.25">
      <c r="B19" s="8" t="s">
        <v>89</v>
      </c>
      <c r="C19" s="9" t="s">
        <v>41</v>
      </c>
      <c r="D19" s="10">
        <v>1</v>
      </c>
      <c r="E19" s="11">
        <v>7531.9769857499987</v>
      </c>
      <c r="F19" s="13">
        <v>1100</v>
      </c>
      <c r="G19" s="13">
        <v>1133</v>
      </c>
      <c r="H19" s="13">
        <v>1140</v>
      </c>
      <c r="I19" s="13"/>
      <c r="J19" s="13">
        <v>658</v>
      </c>
      <c r="K19" s="13">
        <f>589+100</f>
        <v>689</v>
      </c>
      <c r="L19" s="13"/>
      <c r="M19" s="20">
        <v>536</v>
      </c>
      <c r="N19" s="21">
        <f t="shared" si="8"/>
        <v>1004.2635980999999</v>
      </c>
      <c r="O19" s="13"/>
      <c r="P19" s="15">
        <f t="shared" si="3"/>
        <v>13792.24058385</v>
      </c>
      <c r="Q19" s="20"/>
      <c r="R19" s="20"/>
      <c r="S19" s="20">
        <f t="shared" si="6"/>
        <v>527.23838900249996</v>
      </c>
      <c r="T19" s="12">
        <f t="shared" si="5"/>
        <v>527.23838900249996</v>
      </c>
      <c r="U19" s="20">
        <v>1083.1915404332799</v>
      </c>
      <c r="V19" s="22"/>
      <c r="W19" s="23"/>
      <c r="X19" s="23">
        <v>2735.66</v>
      </c>
      <c r="Y19" s="23"/>
      <c r="Z19" s="23"/>
      <c r="AA19" s="17">
        <f t="shared" si="0"/>
        <v>4873.3283184382799</v>
      </c>
      <c r="AB19" s="18">
        <f t="shared" si="1"/>
        <v>8918.91226541172</v>
      </c>
    </row>
    <row r="20" spans="2:29" ht="22.5" x14ac:dyDescent="0.25">
      <c r="B20" s="8" t="s">
        <v>90</v>
      </c>
      <c r="C20" s="9" t="s">
        <v>42</v>
      </c>
      <c r="D20" s="10"/>
      <c r="E20" s="11">
        <v>6069.96</v>
      </c>
      <c r="F20" s="27"/>
      <c r="G20" s="27"/>
      <c r="H20" s="27"/>
      <c r="I20" s="27"/>
      <c r="J20" s="28"/>
      <c r="K20" s="28"/>
      <c r="L20" s="27"/>
      <c r="M20" s="28"/>
      <c r="N20" s="29"/>
      <c r="O20" s="30"/>
      <c r="P20" s="15">
        <f t="shared" si="3"/>
        <v>6069.96</v>
      </c>
      <c r="Q20" s="20"/>
      <c r="R20" s="28"/>
      <c r="S20" s="28"/>
      <c r="T20" s="12"/>
      <c r="U20" s="20">
        <v>527.76699999999994</v>
      </c>
      <c r="V20" s="22"/>
      <c r="W20" s="23"/>
      <c r="X20" s="23"/>
      <c r="Y20" s="23"/>
      <c r="Z20" s="23"/>
      <c r="AA20" s="17">
        <f t="shared" si="0"/>
        <v>527.76699999999994</v>
      </c>
      <c r="AB20" s="18">
        <f t="shared" si="1"/>
        <v>5542.1930000000002</v>
      </c>
    </row>
    <row r="21" spans="2:29" x14ac:dyDescent="0.25">
      <c r="B21" s="8" t="s">
        <v>90</v>
      </c>
      <c r="C21" s="25" t="s">
        <v>43</v>
      </c>
      <c r="D21" s="31"/>
      <c r="E21" s="32">
        <v>3018.5</v>
      </c>
      <c r="F21" s="27"/>
      <c r="G21" s="27"/>
      <c r="H21" s="27"/>
      <c r="I21" s="27"/>
      <c r="J21" s="28"/>
      <c r="K21" s="28"/>
      <c r="L21" s="27"/>
      <c r="M21" s="28"/>
      <c r="N21" s="28"/>
      <c r="O21" s="30"/>
      <c r="P21" s="15">
        <f t="shared" si="3"/>
        <v>3018.5</v>
      </c>
      <c r="Q21" s="20"/>
      <c r="R21" s="28"/>
      <c r="S21" s="28"/>
      <c r="T21" s="12"/>
      <c r="U21" s="20">
        <v>176.47039999999998</v>
      </c>
      <c r="V21" s="22"/>
      <c r="W21" s="23"/>
      <c r="X21" s="23"/>
      <c r="Y21" s="23"/>
      <c r="Z21" s="23"/>
      <c r="AA21" s="17">
        <f t="shared" si="0"/>
        <v>176.47039999999998</v>
      </c>
      <c r="AB21" s="18">
        <f t="shared" si="1"/>
        <v>2842.0295999999998</v>
      </c>
    </row>
    <row r="22" spans="2:29" x14ac:dyDescent="0.25">
      <c r="B22" s="8" t="s">
        <v>44</v>
      </c>
      <c r="C22" s="25" t="s">
        <v>45</v>
      </c>
      <c r="D22" s="31"/>
      <c r="E22" s="32">
        <f>24876/2</f>
        <v>12438</v>
      </c>
      <c r="F22" s="27"/>
      <c r="G22" s="27"/>
      <c r="H22" s="27"/>
      <c r="I22" s="27"/>
      <c r="J22" s="28"/>
      <c r="K22" s="28"/>
      <c r="L22" s="27"/>
      <c r="M22" s="28"/>
      <c r="N22" s="28"/>
      <c r="O22" s="30"/>
      <c r="P22" s="15">
        <f t="shared" si="3"/>
        <v>12438</v>
      </c>
      <c r="Q22" s="28"/>
      <c r="R22" s="28"/>
      <c r="S22" s="28"/>
      <c r="T22" s="32"/>
      <c r="U22" s="28">
        <v>1936</v>
      </c>
      <c r="V22" s="33"/>
      <c r="W22" s="34"/>
      <c r="X22" s="34"/>
      <c r="Y22" s="34"/>
      <c r="Z22" s="34"/>
      <c r="AA22" s="17">
        <f t="shared" si="0"/>
        <v>1936</v>
      </c>
      <c r="AB22" s="18">
        <f t="shared" si="1"/>
        <v>10502</v>
      </c>
    </row>
    <row r="23" spans="2:29" ht="15.75" thickBot="1" x14ac:dyDescent="0.3">
      <c r="B23" s="35" t="s">
        <v>46</v>
      </c>
      <c r="C23" s="36"/>
      <c r="D23" s="37"/>
      <c r="E23" s="38">
        <f t="shared" ref="E23:AA23" si="9">SUM(E4:E21)</f>
        <v>207090.18451253616</v>
      </c>
      <c r="F23" s="38">
        <f t="shared" si="9"/>
        <v>14300</v>
      </c>
      <c r="G23" s="38">
        <f t="shared" si="9"/>
        <v>14030</v>
      </c>
      <c r="H23" s="38">
        <f t="shared" si="9"/>
        <v>14100</v>
      </c>
      <c r="I23" s="38">
        <f t="shared" si="9"/>
        <v>9200</v>
      </c>
      <c r="J23" s="38">
        <f t="shared" si="9"/>
        <v>20228.600000000002</v>
      </c>
      <c r="K23" s="38">
        <f t="shared" si="9"/>
        <v>9433</v>
      </c>
      <c r="L23" s="38">
        <f t="shared" si="9"/>
        <v>1300</v>
      </c>
      <c r="M23" s="38">
        <f t="shared" si="9"/>
        <v>7028</v>
      </c>
      <c r="N23" s="38">
        <f t="shared" si="9"/>
        <v>18780.684873571492</v>
      </c>
      <c r="O23" s="38">
        <f t="shared" si="9"/>
        <v>32747.806666666664</v>
      </c>
      <c r="P23" s="38">
        <f>SUM(P4:P22)</f>
        <v>360676.27605277434</v>
      </c>
      <c r="Q23" s="38">
        <f t="shared" si="9"/>
        <v>845.4644797725</v>
      </c>
      <c r="R23" s="38">
        <f t="shared" si="9"/>
        <v>3500</v>
      </c>
      <c r="S23" s="38">
        <f t="shared" si="9"/>
        <v>7525.194915877536</v>
      </c>
      <c r="T23" s="38">
        <f t="shared" si="9"/>
        <v>13860.120715877538</v>
      </c>
      <c r="U23" s="38">
        <f>SUM(U4:U22)</f>
        <v>43084.166420342081</v>
      </c>
      <c r="V23" s="38">
        <f t="shared" si="9"/>
        <v>0</v>
      </c>
      <c r="W23" s="38">
        <f t="shared" si="9"/>
        <v>0</v>
      </c>
      <c r="X23" s="38">
        <f t="shared" si="9"/>
        <v>5673.86</v>
      </c>
      <c r="Y23" s="38">
        <f t="shared" si="9"/>
        <v>1933.28</v>
      </c>
      <c r="Z23" s="38">
        <f t="shared" si="9"/>
        <v>1933.28</v>
      </c>
      <c r="AA23" s="38">
        <f t="shared" si="9"/>
        <v>76419.366531869673</v>
      </c>
      <c r="AB23" s="38">
        <f>SUM(AB4:AB22)</f>
        <v>282320.90952090471</v>
      </c>
      <c r="AC23" s="19"/>
    </row>
    <row r="24" spans="2:29" x14ac:dyDescent="0.25"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</row>
    <row r="25" spans="2:29" x14ac:dyDescent="0.25">
      <c r="B25" s="42"/>
      <c r="E25" s="40"/>
    </row>
    <row r="26" spans="2:29" x14ac:dyDescent="0.25">
      <c r="B26" s="42"/>
      <c r="E26" s="40"/>
    </row>
    <row r="27" spans="2:29" x14ac:dyDescent="0.25">
      <c r="B27" s="42"/>
      <c r="E27" s="40"/>
    </row>
    <row r="29" spans="2:29" x14ac:dyDescent="0.25">
      <c r="B29" t="s">
        <v>87</v>
      </c>
      <c r="C29" t="s">
        <v>91</v>
      </c>
    </row>
    <row r="30" spans="2:29" x14ac:dyDescent="0.25">
      <c r="B30" t="s">
        <v>88</v>
      </c>
      <c r="C30" t="s">
        <v>92</v>
      </c>
    </row>
    <row r="31" spans="2:29" x14ac:dyDescent="0.25">
      <c r="B31" t="s">
        <v>89</v>
      </c>
      <c r="C31" t="s">
        <v>93</v>
      </c>
    </row>
    <row r="32" spans="2:29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" right="0.70866141732283472" top="0" bottom="0" header="0.31496062992125984" footer="0.31496062992125984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workbookViewId="0">
      <selection activeCell="C4" sqref="C4:AB22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9.28515625" bestFit="1" customWidth="1"/>
    <col min="7" max="14" width="8.7109375" customWidth="1"/>
    <col min="15" max="15" width="9.5703125" bestFit="1" customWidth="1"/>
    <col min="16" max="16" width="12.5703125" bestFit="1" customWidth="1"/>
    <col min="17" max="17" width="7.42578125" customWidth="1"/>
    <col min="18" max="19" width="8.7109375" bestFit="1" customWidth="1"/>
    <col min="20" max="20" width="9" customWidth="1"/>
    <col min="21" max="21" width="9.5703125" customWidth="1"/>
    <col min="22" max="22" width="7.85546875" customWidth="1"/>
    <col min="23" max="24" width="8.5703125" customWidth="1"/>
    <col min="25" max="26" width="10.140625" customWidth="1"/>
    <col min="27" max="27" width="9.5703125" customWidth="1"/>
    <col min="28" max="28" width="12.5703125" bestFit="1" customWidth="1"/>
    <col min="29" max="29" width="14.140625" bestFit="1" customWidth="1"/>
  </cols>
  <sheetData>
    <row r="1" spans="2:29" ht="18.75" x14ac:dyDescent="0.25">
      <c r="E1" s="1"/>
      <c r="F1" s="2" t="s">
        <v>66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9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29" ht="48.75" customHeight="1" x14ac:dyDescent="0.25">
      <c r="B3" s="47"/>
      <c r="C3" s="47" t="s">
        <v>1</v>
      </c>
      <c r="D3" s="4" t="s">
        <v>2</v>
      </c>
      <c r="E3" s="47" t="s">
        <v>3</v>
      </c>
      <c r="F3" s="47" t="s">
        <v>47</v>
      </c>
      <c r="G3" s="47" t="s">
        <v>48</v>
      </c>
      <c r="H3" s="47" t="s">
        <v>49</v>
      </c>
      <c r="I3" s="47" t="s">
        <v>50</v>
      </c>
      <c r="J3" s="47" t="s">
        <v>51</v>
      </c>
      <c r="K3" s="47" t="s">
        <v>52</v>
      </c>
      <c r="L3" s="47" t="s">
        <v>11</v>
      </c>
      <c r="M3" s="47" t="s">
        <v>53</v>
      </c>
      <c r="N3" s="47" t="s">
        <v>54</v>
      </c>
      <c r="O3" s="47" t="s">
        <v>65</v>
      </c>
      <c r="P3" s="48" t="s">
        <v>96</v>
      </c>
      <c r="Q3" s="5" t="s">
        <v>15</v>
      </c>
      <c r="R3" s="5" t="s">
        <v>16</v>
      </c>
      <c r="S3" s="5" t="s">
        <v>17</v>
      </c>
      <c r="T3" s="5" t="s">
        <v>18</v>
      </c>
      <c r="U3" s="5" t="s">
        <v>19</v>
      </c>
      <c r="V3" s="6" t="s">
        <v>20</v>
      </c>
      <c r="W3" s="6" t="s">
        <v>21</v>
      </c>
      <c r="X3" s="7" t="s">
        <v>22</v>
      </c>
      <c r="Y3" s="49" t="s">
        <v>83</v>
      </c>
      <c r="Z3" s="49" t="s">
        <v>84</v>
      </c>
      <c r="AA3" s="49" t="s">
        <v>85</v>
      </c>
      <c r="AB3" s="50" t="s">
        <v>86</v>
      </c>
    </row>
    <row r="4" spans="2:29" x14ac:dyDescent="0.25">
      <c r="B4" s="8" t="s">
        <v>87</v>
      </c>
      <c r="C4" s="9" t="s">
        <v>23</v>
      </c>
      <c r="D4" s="10">
        <v>17</v>
      </c>
      <c r="E4" s="11">
        <v>19286.689999999999</v>
      </c>
      <c r="F4" s="13"/>
      <c r="G4" s="12">
        <v>300</v>
      </c>
      <c r="H4" s="13"/>
      <c r="I4" s="12"/>
      <c r="J4" s="12"/>
      <c r="K4" s="12"/>
      <c r="L4" s="12"/>
      <c r="M4" s="12"/>
      <c r="N4" s="12"/>
      <c r="O4" s="14"/>
      <c r="P4" s="15">
        <f>SUM(E4:O4)</f>
        <v>19586.689999999999</v>
      </c>
      <c r="Q4" s="12"/>
      <c r="R4" s="12"/>
      <c r="S4" s="12"/>
      <c r="T4" s="12">
        <f>(E4*0.07)</f>
        <v>1350.0683000000001</v>
      </c>
      <c r="U4" s="12">
        <v>3400.1570879999995</v>
      </c>
      <c r="V4" s="16"/>
      <c r="W4" s="17"/>
      <c r="X4" s="17"/>
      <c r="Y4" s="17"/>
      <c r="Z4" s="17"/>
      <c r="AA4" s="17">
        <f t="shared" ref="AA4:AA21" si="0">SUM(Q4:Z4)</f>
        <v>4750.2253879999998</v>
      </c>
      <c r="AB4" s="18">
        <f t="shared" ref="AB4:AB22" si="1">+P4-AA4</f>
        <v>14836.464612</v>
      </c>
    </row>
    <row r="5" spans="2:29" x14ac:dyDescent="0.25">
      <c r="B5" s="8" t="s">
        <v>87</v>
      </c>
      <c r="C5" s="9" t="s">
        <v>24</v>
      </c>
      <c r="D5" s="10">
        <v>14</v>
      </c>
      <c r="E5" s="11">
        <f>(14917.51/15)*4</f>
        <v>3978.0026666666668</v>
      </c>
      <c r="F5" s="13"/>
      <c r="G5" s="20">
        <f>(300/30)*4</f>
        <v>40</v>
      </c>
      <c r="H5" s="13"/>
      <c r="I5" s="20"/>
      <c r="J5" s="20"/>
      <c r="K5" s="20"/>
      <c r="L5" s="20"/>
      <c r="M5" s="20"/>
      <c r="N5" s="20"/>
      <c r="O5" s="21"/>
      <c r="P5" s="15">
        <f t="shared" ref="P5:P6" si="2">SUM(E5:O5)</f>
        <v>4018.0026666666668</v>
      </c>
      <c r="Q5" s="20"/>
      <c r="R5" s="20"/>
      <c r="S5" s="20"/>
      <c r="T5" s="12">
        <f>(E5*0.07)</f>
        <v>278.46018666666669</v>
      </c>
      <c r="U5" s="20">
        <v>276.43362613333329</v>
      </c>
      <c r="V5" s="22"/>
      <c r="W5" s="23"/>
      <c r="X5" s="23"/>
      <c r="Y5" s="23"/>
      <c r="Z5" s="23"/>
      <c r="AA5" s="17">
        <f t="shared" si="0"/>
        <v>554.89381279999998</v>
      </c>
      <c r="AB5" s="18">
        <f t="shared" si="1"/>
        <v>3463.1088538666668</v>
      </c>
    </row>
    <row r="6" spans="2:29" x14ac:dyDescent="0.25">
      <c r="B6" s="8" t="s">
        <v>87</v>
      </c>
      <c r="C6" s="9" t="s">
        <v>25</v>
      </c>
      <c r="D6" s="10">
        <v>14</v>
      </c>
      <c r="E6" s="11">
        <v>14917.51</v>
      </c>
      <c r="F6" s="13"/>
      <c r="G6" s="20">
        <v>300</v>
      </c>
      <c r="H6" s="13"/>
      <c r="I6" s="20"/>
      <c r="J6" s="20"/>
      <c r="K6" s="20"/>
      <c r="L6" s="20"/>
      <c r="M6" s="20"/>
      <c r="N6" s="20"/>
      <c r="O6" s="21"/>
      <c r="P6" s="15">
        <f t="shared" si="2"/>
        <v>15217.51</v>
      </c>
      <c r="Q6" s="20"/>
      <c r="R6" s="20"/>
      <c r="S6" s="20"/>
      <c r="T6" s="12">
        <f>(E6*0.07)</f>
        <v>1044.2257000000002</v>
      </c>
      <c r="U6" s="20">
        <v>2384.42164</v>
      </c>
      <c r="V6" s="22"/>
      <c r="W6" s="23"/>
      <c r="X6" s="23"/>
      <c r="Y6" s="23"/>
      <c r="Z6" s="23"/>
      <c r="AA6" s="17">
        <f t="shared" si="0"/>
        <v>3428.6473400000004</v>
      </c>
      <c r="AB6" s="18">
        <f t="shared" si="1"/>
        <v>11788.862659999999</v>
      </c>
    </row>
    <row r="7" spans="2:29" ht="15" customHeight="1" x14ac:dyDescent="0.25">
      <c r="B7" s="8" t="s">
        <v>88</v>
      </c>
      <c r="C7" s="9" t="s">
        <v>27</v>
      </c>
      <c r="D7" s="10">
        <v>13</v>
      </c>
      <c r="E7" s="11">
        <v>15022.1</v>
      </c>
      <c r="F7" s="43">
        <v>900</v>
      </c>
      <c r="G7" s="43">
        <v>900</v>
      </c>
      <c r="H7" s="43">
        <v>900</v>
      </c>
      <c r="I7" s="13">
        <v>1000</v>
      </c>
      <c r="J7" s="20"/>
      <c r="K7" s="20">
        <v>750</v>
      </c>
      <c r="L7" s="13"/>
      <c r="M7" s="20"/>
      <c r="N7" s="20"/>
      <c r="O7" s="21">
        <f t="shared" ref="O7:O19" si="3">(E7/15)*4</f>
        <v>4005.8933333333334</v>
      </c>
      <c r="P7" s="15">
        <f t="shared" ref="P7:P22" si="4">SUM(E7:O7)</f>
        <v>23477.993333333332</v>
      </c>
      <c r="Q7" s="20"/>
      <c r="R7" s="20"/>
      <c r="S7" s="20"/>
      <c r="T7" s="12">
        <f t="shared" ref="T7:T19" si="5">(E7*0.07)</f>
        <v>1051.547</v>
      </c>
      <c r="U7" s="20">
        <v>3250.4185759999996</v>
      </c>
      <c r="V7" s="22"/>
      <c r="W7" s="23"/>
      <c r="X7" s="23"/>
      <c r="Y7" s="23"/>
      <c r="Z7" s="23"/>
      <c r="AA7" s="17">
        <f t="shared" si="0"/>
        <v>4301.9655759999996</v>
      </c>
      <c r="AB7" s="18">
        <f t="shared" si="1"/>
        <v>19176.027757333333</v>
      </c>
    </row>
    <row r="8" spans="2:29" ht="15" customHeight="1" x14ac:dyDescent="0.25">
      <c r="B8" s="8" t="s">
        <v>88</v>
      </c>
      <c r="C8" s="9" t="s">
        <v>28</v>
      </c>
      <c r="D8" s="10">
        <v>13</v>
      </c>
      <c r="E8" s="11">
        <v>15022.1</v>
      </c>
      <c r="F8" s="43">
        <v>900</v>
      </c>
      <c r="G8" s="43">
        <v>900</v>
      </c>
      <c r="H8" s="43">
        <v>900</v>
      </c>
      <c r="I8" s="13">
        <v>1000</v>
      </c>
      <c r="J8" s="20"/>
      <c r="K8" s="20">
        <v>750</v>
      </c>
      <c r="L8" s="13"/>
      <c r="M8" s="20"/>
      <c r="N8" s="20"/>
      <c r="O8" s="21">
        <f t="shared" si="3"/>
        <v>4005.8933333333334</v>
      </c>
      <c r="P8" s="15">
        <f t="shared" si="4"/>
        <v>23477.993333333332</v>
      </c>
      <c r="Q8" s="20"/>
      <c r="R8" s="20"/>
      <c r="S8" s="20"/>
      <c r="T8" s="12">
        <f t="shared" si="5"/>
        <v>1051.547</v>
      </c>
      <c r="U8" s="20">
        <v>3250.4185759999996</v>
      </c>
      <c r="V8" s="22"/>
      <c r="W8" s="23"/>
      <c r="X8" s="23"/>
      <c r="Y8" s="23"/>
      <c r="Z8" s="23"/>
      <c r="AA8" s="17">
        <f t="shared" si="0"/>
        <v>4301.9655759999996</v>
      </c>
      <c r="AB8" s="18">
        <f t="shared" si="1"/>
        <v>19176.027757333333</v>
      </c>
    </row>
    <row r="9" spans="2:29" ht="15" customHeight="1" x14ac:dyDescent="0.25">
      <c r="B9" s="8" t="s">
        <v>88</v>
      </c>
      <c r="C9" s="9" t="s">
        <v>29</v>
      </c>
      <c r="D9" s="10">
        <v>9</v>
      </c>
      <c r="E9" s="11">
        <v>11333.03</v>
      </c>
      <c r="F9" s="43">
        <v>900</v>
      </c>
      <c r="G9" s="43">
        <v>900</v>
      </c>
      <c r="H9" s="43">
        <v>900</v>
      </c>
      <c r="I9" s="13">
        <v>1000</v>
      </c>
      <c r="J9" s="20"/>
      <c r="K9" s="20">
        <v>566</v>
      </c>
      <c r="L9" s="13"/>
      <c r="M9" s="20"/>
      <c r="N9" s="20"/>
      <c r="O9" s="21">
        <f t="shared" si="3"/>
        <v>3022.1413333333335</v>
      </c>
      <c r="P9" s="15">
        <f t="shared" si="4"/>
        <v>18621.171333333335</v>
      </c>
      <c r="Q9" s="20"/>
      <c r="R9" s="20"/>
      <c r="S9" s="20"/>
      <c r="T9" s="12">
        <f t="shared" si="5"/>
        <v>793.3121000000001</v>
      </c>
      <c r="U9" s="20">
        <v>2268.9902064000003</v>
      </c>
      <c r="V9" s="22"/>
      <c r="W9" s="23"/>
      <c r="X9" s="23">
        <v>2938.2</v>
      </c>
      <c r="Y9" s="23"/>
      <c r="Z9" s="23"/>
      <c r="AA9" s="17">
        <f t="shared" si="0"/>
        <v>6000.5023063999997</v>
      </c>
      <c r="AB9" s="18">
        <f t="shared" si="1"/>
        <v>12620.669026933336</v>
      </c>
    </row>
    <row r="10" spans="2:29" ht="15" customHeight="1" x14ac:dyDescent="0.25">
      <c r="B10" s="8" t="s">
        <v>89</v>
      </c>
      <c r="C10" s="9" t="s">
        <v>30</v>
      </c>
      <c r="D10" s="10">
        <v>10</v>
      </c>
      <c r="E10" s="11">
        <v>15424.35954953621</v>
      </c>
      <c r="F10" s="13">
        <v>1133</v>
      </c>
      <c r="G10" s="13">
        <v>1133</v>
      </c>
      <c r="H10" s="13">
        <v>1133</v>
      </c>
      <c r="I10" s="13">
        <v>1000</v>
      </c>
      <c r="J10" s="20"/>
      <c r="K10" s="20">
        <v>606</v>
      </c>
      <c r="L10" s="13"/>
      <c r="M10" s="20">
        <v>999</v>
      </c>
      <c r="N10" s="20"/>
      <c r="O10" s="21">
        <f t="shared" si="3"/>
        <v>4113.1625465429888</v>
      </c>
      <c r="P10" s="15">
        <f t="shared" si="4"/>
        <v>25541.522096079199</v>
      </c>
      <c r="Q10" s="20"/>
      <c r="R10" s="20"/>
      <c r="S10" s="20">
        <f t="shared" ref="S10:S19" si="6">(E10*0.07)</f>
        <v>1079.7051684675348</v>
      </c>
      <c r="T10" s="12">
        <f t="shared" si="5"/>
        <v>1079.7051684675348</v>
      </c>
      <c r="U10" s="20">
        <v>3512.9944815243721</v>
      </c>
      <c r="V10" s="22"/>
      <c r="W10" s="23"/>
      <c r="X10" s="23"/>
      <c r="Y10" s="23"/>
      <c r="Z10" s="23"/>
      <c r="AA10" s="17">
        <f t="shared" si="0"/>
        <v>5672.4048184594412</v>
      </c>
      <c r="AB10" s="18">
        <f t="shared" si="1"/>
        <v>19869.117277619756</v>
      </c>
    </row>
    <row r="11" spans="2:29" ht="15" customHeight="1" x14ac:dyDescent="0.25">
      <c r="B11" s="8" t="s">
        <v>89</v>
      </c>
      <c r="C11" s="9" t="s">
        <v>31</v>
      </c>
      <c r="D11" s="10">
        <v>8</v>
      </c>
      <c r="E11" s="11">
        <v>13360.854858749999</v>
      </c>
      <c r="F11" s="13">
        <v>1133</v>
      </c>
      <c r="G11" s="13">
        <v>1133</v>
      </c>
      <c r="H11" s="13">
        <v>1133</v>
      </c>
      <c r="I11" s="13">
        <v>1000</v>
      </c>
      <c r="J11" s="12"/>
      <c r="K11" s="20">
        <v>525</v>
      </c>
      <c r="L11" s="13">
        <f>225</f>
        <v>225</v>
      </c>
      <c r="M11" s="13">
        <v>925</v>
      </c>
      <c r="N11" s="13"/>
      <c r="O11" s="21">
        <f t="shared" si="3"/>
        <v>3562.8946289999999</v>
      </c>
      <c r="P11" s="15">
        <f t="shared" si="4"/>
        <v>22997.749487749996</v>
      </c>
      <c r="Q11" s="20">
        <f t="shared" ref="Q11:Q18" si="7">(E11*0.01)</f>
        <v>133.6085485875</v>
      </c>
      <c r="R11" s="20">
        <f>1000</f>
        <v>1000</v>
      </c>
      <c r="S11" s="20">
        <f t="shared" si="6"/>
        <v>935.2598401125</v>
      </c>
      <c r="T11" s="12">
        <f t="shared" si="5"/>
        <v>935.2598401125</v>
      </c>
      <c r="U11" s="20">
        <v>2997.6386711483997</v>
      </c>
      <c r="V11" s="22"/>
      <c r="W11" s="23"/>
      <c r="X11" s="23"/>
      <c r="Y11" s="23">
        <f>966.64</f>
        <v>966.64</v>
      </c>
      <c r="Z11" s="23"/>
      <c r="AA11" s="17">
        <f t="shared" si="0"/>
        <v>6968.4068999608999</v>
      </c>
      <c r="AB11" s="18">
        <f t="shared" si="1"/>
        <v>16029.342587789095</v>
      </c>
      <c r="AC11" s="19"/>
    </row>
    <row r="12" spans="2:29" ht="22.5" x14ac:dyDescent="0.25">
      <c r="B12" s="8" t="s">
        <v>89</v>
      </c>
      <c r="C12" s="25" t="s">
        <v>32</v>
      </c>
      <c r="D12" s="26">
        <v>7</v>
      </c>
      <c r="E12" s="11">
        <v>12482.481170250001</v>
      </c>
      <c r="F12" s="13">
        <v>1133</v>
      </c>
      <c r="G12" s="13">
        <v>1133</v>
      </c>
      <c r="H12" s="13">
        <v>1133</v>
      </c>
      <c r="I12" s="13">
        <v>1000</v>
      </c>
      <c r="J12" s="12">
        <v>295</v>
      </c>
      <c r="K12" s="20">
        <v>491</v>
      </c>
      <c r="L12" s="20">
        <v>325</v>
      </c>
      <c r="M12" s="20">
        <v>893</v>
      </c>
      <c r="N12" s="20"/>
      <c r="O12" s="21">
        <f t="shared" si="3"/>
        <v>3328.6616454000005</v>
      </c>
      <c r="P12" s="15">
        <f t="shared" si="4"/>
        <v>22214.142815650001</v>
      </c>
      <c r="Q12" s="20">
        <f t="shared" si="7"/>
        <v>124.82481170250001</v>
      </c>
      <c r="R12" s="20"/>
      <c r="S12" s="20">
        <f t="shared" si="6"/>
        <v>873.7736819175002</v>
      </c>
      <c r="T12" s="12">
        <f t="shared" si="5"/>
        <v>873.7736819175002</v>
      </c>
      <c r="U12" s="20">
        <v>2813.9497807418406</v>
      </c>
      <c r="V12" s="23"/>
      <c r="W12" s="22"/>
      <c r="X12" s="22"/>
      <c r="Y12" s="22"/>
      <c r="Z12" s="22"/>
      <c r="AA12" s="17">
        <f t="shared" si="0"/>
        <v>4686.3219562793411</v>
      </c>
      <c r="AB12" s="18">
        <f t="shared" si="1"/>
        <v>17527.820859370659</v>
      </c>
    </row>
    <row r="13" spans="2:29" x14ac:dyDescent="0.25">
      <c r="B13" s="8" t="s">
        <v>89</v>
      </c>
      <c r="C13" s="25" t="s">
        <v>33</v>
      </c>
      <c r="D13" s="26">
        <v>7</v>
      </c>
      <c r="E13" s="11">
        <v>12482.481170250001</v>
      </c>
      <c r="F13" s="13">
        <v>1133</v>
      </c>
      <c r="G13" s="13">
        <v>1133</v>
      </c>
      <c r="H13" s="13">
        <v>1133</v>
      </c>
      <c r="I13" s="13">
        <v>1000</v>
      </c>
      <c r="J13" s="12">
        <v>295</v>
      </c>
      <c r="K13" s="20">
        <v>491</v>
      </c>
      <c r="L13" s="20"/>
      <c r="M13" s="20">
        <v>893</v>
      </c>
      <c r="N13" s="20">
        <v>800</v>
      </c>
      <c r="O13" s="21">
        <f t="shared" si="3"/>
        <v>3328.6616454000005</v>
      </c>
      <c r="P13" s="15">
        <f t="shared" si="4"/>
        <v>22689.142815650001</v>
      </c>
      <c r="Q13" s="20">
        <f t="shared" si="7"/>
        <v>124.82481170250001</v>
      </c>
      <c r="R13" s="20"/>
      <c r="S13" s="20">
        <f t="shared" si="6"/>
        <v>873.7736819175002</v>
      </c>
      <c r="T13" s="12">
        <f t="shared" si="5"/>
        <v>873.7736819175002</v>
      </c>
      <c r="U13" s="20">
        <v>2831.5897807418405</v>
      </c>
      <c r="V13" s="22"/>
      <c r="W13" s="23"/>
      <c r="X13" s="22"/>
      <c r="Y13" s="22"/>
      <c r="Z13" s="22"/>
      <c r="AA13" s="17">
        <f t="shared" si="0"/>
        <v>4703.9619562793414</v>
      </c>
      <c r="AB13" s="18">
        <f t="shared" si="1"/>
        <v>17985.180859370659</v>
      </c>
    </row>
    <row r="14" spans="2:29" x14ac:dyDescent="0.25">
      <c r="B14" s="8" t="s">
        <v>89</v>
      </c>
      <c r="C14" s="9" t="s">
        <v>35</v>
      </c>
      <c r="D14" s="10">
        <v>5</v>
      </c>
      <c r="E14" s="11">
        <v>10948.878517500001</v>
      </c>
      <c r="F14" s="13">
        <v>1133</v>
      </c>
      <c r="G14" s="13">
        <v>1133</v>
      </c>
      <c r="H14" s="13">
        <v>1133</v>
      </c>
      <c r="I14" s="13">
        <v>1000</v>
      </c>
      <c r="J14" s="13">
        <v>260</v>
      </c>
      <c r="K14" s="20"/>
      <c r="L14" s="13">
        <v>150</v>
      </c>
      <c r="M14" s="20">
        <v>838</v>
      </c>
      <c r="N14" s="20"/>
      <c r="O14" s="21">
        <f t="shared" si="3"/>
        <v>2919.7009380000004</v>
      </c>
      <c r="P14" s="15">
        <f t="shared" si="4"/>
        <v>19515.579455500003</v>
      </c>
      <c r="Q14" s="20">
        <f t="shared" si="7"/>
        <v>109.48878517500002</v>
      </c>
      <c r="R14" s="20">
        <f>500</f>
        <v>500</v>
      </c>
      <c r="S14" s="20">
        <f t="shared" si="6"/>
        <v>766.42149622500017</v>
      </c>
      <c r="T14" s="12">
        <f t="shared" si="5"/>
        <v>766.42149622500017</v>
      </c>
      <c r="U14" s="20">
        <v>2314.6212155164008</v>
      </c>
      <c r="V14" s="22"/>
      <c r="W14" s="23"/>
      <c r="X14" s="23"/>
      <c r="Y14" s="23"/>
      <c r="Z14" s="23"/>
      <c r="AA14" s="17">
        <f t="shared" si="0"/>
        <v>4456.9529931414017</v>
      </c>
      <c r="AB14" s="18">
        <f t="shared" si="1"/>
        <v>15058.626462358601</v>
      </c>
    </row>
    <row r="15" spans="2:29" x14ac:dyDescent="0.25">
      <c r="B15" s="8" t="s">
        <v>89</v>
      </c>
      <c r="C15" s="9" t="s">
        <v>36</v>
      </c>
      <c r="D15" s="10">
        <v>4</v>
      </c>
      <c r="E15" s="11">
        <v>9610.9981694999988</v>
      </c>
      <c r="F15" s="13">
        <v>1133</v>
      </c>
      <c r="G15" s="13">
        <v>1133</v>
      </c>
      <c r="H15" s="13">
        <v>1133</v>
      </c>
      <c r="I15" s="13">
        <v>1000</v>
      </c>
      <c r="J15" s="13">
        <v>230</v>
      </c>
      <c r="K15" s="20"/>
      <c r="L15" s="13">
        <v>150</v>
      </c>
      <c r="M15" s="20">
        <v>790</v>
      </c>
      <c r="N15" s="20"/>
      <c r="O15" s="21">
        <f t="shared" si="3"/>
        <v>2562.9328451999995</v>
      </c>
      <c r="P15" s="15">
        <f t="shared" si="4"/>
        <v>17742.9310147</v>
      </c>
      <c r="Q15" s="20">
        <f t="shared" si="7"/>
        <v>96.109981694999988</v>
      </c>
      <c r="R15" s="20"/>
      <c r="S15" s="20">
        <f t="shared" si="6"/>
        <v>672.76987186500003</v>
      </c>
      <c r="T15" s="12">
        <f t="shared" si="5"/>
        <v>672.76987186500003</v>
      </c>
      <c r="U15" s="20">
        <v>1982.4167408725598</v>
      </c>
      <c r="V15" s="22"/>
      <c r="W15" s="23"/>
      <c r="X15" s="23"/>
      <c r="Y15" s="23"/>
      <c r="Z15" s="23"/>
      <c r="AA15" s="17">
        <f t="shared" si="0"/>
        <v>3424.0664662975596</v>
      </c>
      <c r="AB15" s="18">
        <f t="shared" si="1"/>
        <v>14318.86454840244</v>
      </c>
    </row>
    <row r="16" spans="2:29" x14ac:dyDescent="0.25">
      <c r="B16" s="8" t="s">
        <v>89</v>
      </c>
      <c r="C16" s="9" t="s">
        <v>37</v>
      </c>
      <c r="D16" s="10">
        <v>4</v>
      </c>
      <c r="E16" s="11">
        <v>9610.9981694999988</v>
      </c>
      <c r="F16" s="13">
        <v>1133</v>
      </c>
      <c r="G16" s="13">
        <v>1133</v>
      </c>
      <c r="H16" s="13">
        <v>1133</v>
      </c>
      <c r="I16" s="13">
        <v>1000</v>
      </c>
      <c r="J16" s="13">
        <v>230</v>
      </c>
      <c r="K16" s="20"/>
      <c r="L16" s="13">
        <v>150</v>
      </c>
      <c r="M16" s="20">
        <v>790</v>
      </c>
      <c r="N16" s="20"/>
      <c r="O16" s="21">
        <f t="shared" si="3"/>
        <v>2562.9328451999995</v>
      </c>
      <c r="P16" s="15">
        <f t="shared" si="4"/>
        <v>17742.9310147</v>
      </c>
      <c r="Q16" s="20">
        <f t="shared" si="7"/>
        <v>96.109981694999988</v>
      </c>
      <c r="R16" s="20">
        <f>500</f>
        <v>500</v>
      </c>
      <c r="S16" s="20">
        <f t="shared" si="6"/>
        <v>672.76987186500003</v>
      </c>
      <c r="T16" s="12">
        <f t="shared" si="5"/>
        <v>672.76987186500003</v>
      </c>
      <c r="U16" s="20">
        <v>1982.4167408725598</v>
      </c>
      <c r="V16" s="22"/>
      <c r="W16" s="23"/>
      <c r="X16" s="23"/>
      <c r="Y16" s="23"/>
      <c r="Z16" s="23"/>
      <c r="AA16" s="17">
        <f t="shared" si="0"/>
        <v>3924.0664662975596</v>
      </c>
      <c r="AB16" s="18">
        <f t="shared" si="1"/>
        <v>13818.86454840244</v>
      </c>
    </row>
    <row r="17" spans="2:29" x14ac:dyDescent="0.25">
      <c r="B17" s="8" t="s">
        <v>89</v>
      </c>
      <c r="C17" s="9" t="s">
        <v>38</v>
      </c>
      <c r="D17" s="10">
        <v>2</v>
      </c>
      <c r="E17" s="11">
        <v>8024.8779607499991</v>
      </c>
      <c r="F17" s="13">
        <v>1133</v>
      </c>
      <c r="G17" s="13">
        <v>1133</v>
      </c>
      <c r="H17" s="13">
        <v>1133</v>
      </c>
      <c r="I17" s="13">
        <v>1000</v>
      </c>
      <c r="J17" s="13">
        <v>190</v>
      </c>
      <c r="K17" s="20"/>
      <c r="L17" s="13">
        <v>150</v>
      </c>
      <c r="M17" s="20">
        <v>733</v>
      </c>
      <c r="N17" s="20">
        <v>800</v>
      </c>
      <c r="O17" s="21">
        <f t="shared" si="3"/>
        <v>2139.9674561999996</v>
      </c>
      <c r="P17" s="15">
        <f t="shared" si="4"/>
        <v>16436.84541695</v>
      </c>
      <c r="Q17" s="20">
        <f t="shared" si="7"/>
        <v>80.248779607499998</v>
      </c>
      <c r="R17" s="20">
        <f>1000</f>
        <v>1000</v>
      </c>
      <c r="S17" s="20">
        <f t="shared" si="6"/>
        <v>561.74145725250003</v>
      </c>
      <c r="T17" s="12">
        <f t="shared" si="5"/>
        <v>561.74145725250003</v>
      </c>
      <c r="U17" s="20">
        <v>1673.5291607383601</v>
      </c>
      <c r="V17" s="22"/>
      <c r="W17" s="23"/>
      <c r="X17" s="23"/>
      <c r="Y17" s="23"/>
      <c r="Z17" s="23"/>
      <c r="AA17" s="17">
        <f t="shared" si="0"/>
        <v>3877.2608548508601</v>
      </c>
      <c r="AB17" s="18">
        <f t="shared" si="1"/>
        <v>12559.58456209914</v>
      </c>
    </row>
    <row r="18" spans="2:29" x14ac:dyDescent="0.25">
      <c r="B18" s="8" t="s">
        <v>89</v>
      </c>
      <c r="C18" s="9" t="s">
        <v>39</v>
      </c>
      <c r="D18" s="10">
        <v>2</v>
      </c>
      <c r="E18" s="11">
        <v>8024.8779607499991</v>
      </c>
      <c r="F18" s="13">
        <v>1133</v>
      </c>
      <c r="G18" s="13">
        <v>1133</v>
      </c>
      <c r="H18" s="13">
        <v>1133</v>
      </c>
      <c r="I18" s="13">
        <v>1000</v>
      </c>
      <c r="J18" s="13">
        <v>190</v>
      </c>
      <c r="K18" s="20"/>
      <c r="L18" s="13">
        <v>150</v>
      </c>
      <c r="M18" s="20">
        <v>733</v>
      </c>
      <c r="N18" s="20"/>
      <c r="O18" s="21">
        <f t="shared" si="3"/>
        <v>2139.9674561999996</v>
      </c>
      <c r="P18" s="15">
        <f t="shared" si="4"/>
        <v>15636.84541695</v>
      </c>
      <c r="Q18" s="20">
        <f t="shared" si="7"/>
        <v>80.248779607499998</v>
      </c>
      <c r="R18" s="20">
        <f>500</f>
        <v>500</v>
      </c>
      <c r="S18" s="20">
        <f t="shared" si="6"/>
        <v>561.74145725250003</v>
      </c>
      <c r="T18" s="12">
        <f t="shared" si="5"/>
        <v>561.74145725250003</v>
      </c>
      <c r="U18" s="20">
        <v>1588.0891607383601</v>
      </c>
      <c r="V18" s="22"/>
      <c r="W18" s="23"/>
      <c r="X18" s="23"/>
      <c r="Y18" s="23">
        <f>966.64</f>
        <v>966.64</v>
      </c>
      <c r="Z18" s="23">
        <f>1933.28</f>
        <v>1933.28</v>
      </c>
      <c r="AA18" s="17">
        <f t="shared" si="0"/>
        <v>6191.7408548508602</v>
      </c>
      <c r="AB18" s="18">
        <f t="shared" si="1"/>
        <v>9445.104562099139</v>
      </c>
    </row>
    <row r="19" spans="2:29" ht="22.5" x14ac:dyDescent="0.25">
      <c r="B19" s="8" t="s">
        <v>89</v>
      </c>
      <c r="C19" s="9" t="s">
        <v>41</v>
      </c>
      <c r="D19" s="10">
        <v>1</v>
      </c>
      <c r="E19" s="11">
        <v>7531.9769857499987</v>
      </c>
      <c r="F19" s="13">
        <v>1133</v>
      </c>
      <c r="G19" s="13">
        <v>1133</v>
      </c>
      <c r="H19" s="13">
        <v>1133</v>
      </c>
      <c r="I19" s="13">
        <v>1000</v>
      </c>
      <c r="J19" s="13">
        <v>180</v>
      </c>
      <c r="K19" s="20"/>
      <c r="L19" s="13"/>
      <c r="M19" s="20">
        <v>715</v>
      </c>
      <c r="N19" s="20"/>
      <c r="O19" s="21">
        <f t="shared" si="3"/>
        <v>2008.5271961999997</v>
      </c>
      <c r="P19" s="15">
        <f t="shared" si="4"/>
        <v>14834.50418195</v>
      </c>
      <c r="Q19" s="20"/>
      <c r="R19" s="20"/>
      <c r="S19" s="20">
        <f t="shared" si="6"/>
        <v>527.23838900249996</v>
      </c>
      <c r="T19" s="12">
        <f t="shared" si="5"/>
        <v>527.23838900249996</v>
      </c>
      <c r="U19" s="20">
        <v>1433.7372927103602</v>
      </c>
      <c r="V19" s="22"/>
      <c r="W19" s="23"/>
      <c r="X19" s="23">
        <v>2735.66</v>
      </c>
      <c r="Y19" s="23"/>
      <c r="Z19" s="23"/>
      <c r="AA19" s="17">
        <f t="shared" si="0"/>
        <v>5223.8740707153602</v>
      </c>
      <c r="AB19" s="18">
        <f t="shared" si="1"/>
        <v>9610.6301112346409</v>
      </c>
    </row>
    <row r="20" spans="2:29" ht="22.5" x14ac:dyDescent="0.25">
      <c r="B20" s="8" t="s">
        <v>90</v>
      </c>
      <c r="C20" s="9" t="s">
        <v>42</v>
      </c>
      <c r="D20" s="10"/>
      <c r="E20" s="11">
        <v>6069.96</v>
      </c>
      <c r="F20" s="30"/>
      <c r="G20" s="30"/>
      <c r="H20" s="30"/>
      <c r="I20" s="27"/>
      <c r="J20" s="28"/>
      <c r="K20" s="28"/>
      <c r="L20" s="28"/>
      <c r="M20" s="20"/>
      <c r="N20" s="20"/>
      <c r="O20" s="21"/>
      <c r="P20" s="15">
        <f t="shared" si="4"/>
        <v>6069.96</v>
      </c>
      <c r="Q20" s="20"/>
      <c r="R20" s="28"/>
      <c r="S20" s="28"/>
      <c r="T20" s="12"/>
      <c r="U20" s="20">
        <v>527.76699999999994</v>
      </c>
      <c r="V20" s="22"/>
      <c r="W20" s="23"/>
      <c r="X20" s="23"/>
      <c r="Y20" s="23"/>
      <c r="Z20" s="23"/>
      <c r="AA20" s="17">
        <f t="shared" si="0"/>
        <v>527.76699999999994</v>
      </c>
      <c r="AB20" s="18">
        <f t="shared" si="1"/>
        <v>5542.1930000000002</v>
      </c>
    </row>
    <row r="21" spans="2:29" x14ac:dyDescent="0.25">
      <c r="B21" s="8" t="s">
        <v>90</v>
      </c>
      <c r="C21" s="25" t="s">
        <v>43</v>
      </c>
      <c r="D21" s="31"/>
      <c r="E21" s="32">
        <v>3018.5</v>
      </c>
      <c r="F21" s="30"/>
      <c r="G21" s="30"/>
      <c r="H21" s="30"/>
      <c r="I21" s="27"/>
      <c r="J21" s="28"/>
      <c r="K21" s="28"/>
      <c r="L21" s="28"/>
      <c r="M21" s="20"/>
      <c r="N21" s="20"/>
      <c r="O21" s="21"/>
      <c r="P21" s="15">
        <f t="shared" si="4"/>
        <v>3018.5</v>
      </c>
      <c r="Q21" s="20"/>
      <c r="R21" s="28"/>
      <c r="S21" s="28"/>
      <c r="T21" s="12"/>
      <c r="U21" s="20">
        <v>176.47039999999998</v>
      </c>
      <c r="V21" s="22"/>
      <c r="W21" s="23"/>
      <c r="X21" s="23"/>
      <c r="Y21" s="23"/>
      <c r="Z21" s="23"/>
      <c r="AA21" s="17">
        <f t="shared" si="0"/>
        <v>176.47039999999998</v>
      </c>
      <c r="AB21" s="18">
        <f t="shared" si="1"/>
        <v>2842.0295999999998</v>
      </c>
    </row>
    <row r="22" spans="2:29" x14ac:dyDescent="0.25">
      <c r="B22" s="8" t="s">
        <v>44</v>
      </c>
      <c r="C22" s="25" t="s">
        <v>45</v>
      </c>
      <c r="D22" s="31"/>
      <c r="E22" s="32">
        <f>24876/2</f>
        <v>12438</v>
      </c>
      <c r="F22" s="30"/>
      <c r="G22" s="30"/>
      <c r="H22" s="30"/>
      <c r="I22" s="27"/>
      <c r="J22" s="28"/>
      <c r="K22" s="28"/>
      <c r="L22" s="28"/>
      <c r="M22" s="28"/>
      <c r="N22" s="28"/>
      <c r="O22" s="29"/>
      <c r="P22" s="15">
        <f t="shared" si="4"/>
        <v>12438</v>
      </c>
      <c r="Q22" s="28"/>
      <c r="R22" s="28"/>
      <c r="S22" s="28"/>
      <c r="T22" s="32"/>
      <c r="U22" s="28">
        <v>1936</v>
      </c>
      <c r="V22" s="33"/>
      <c r="W22" s="34"/>
      <c r="X22" s="34"/>
      <c r="Y22" s="34"/>
      <c r="Z22" s="34"/>
      <c r="AA22" s="17">
        <f t="shared" ref="AA22" si="8">SUM(Q22:Z22)</f>
        <v>1936</v>
      </c>
      <c r="AB22" s="18">
        <f t="shared" si="1"/>
        <v>10502</v>
      </c>
    </row>
    <row r="23" spans="2:29" ht="15.75" thickBot="1" x14ac:dyDescent="0.3">
      <c r="B23" s="35" t="s">
        <v>46</v>
      </c>
      <c r="C23" s="36"/>
      <c r="D23" s="37"/>
      <c r="E23" s="38">
        <f t="shared" ref="E23:O23" si="9">SUM(E4:E21)</f>
        <v>196150.67717920284</v>
      </c>
      <c r="F23" s="38">
        <f t="shared" si="9"/>
        <v>14030</v>
      </c>
      <c r="G23" s="38">
        <f t="shared" si="9"/>
        <v>14670</v>
      </c>
      <c r="H23" s="38">
        <f t="shared" si="9"/>
        <v>14030</v>
      </c>
      <c r="I23" s="38">
        <f t="shared" si="9"/>
        <v>13000</v>
      </c>
      <c r="J23" s="38">
        <f t="shared" si="9"/>
        <v>1870</v>
      </c>
      <c r="K23" s="38">
        <f t="shared" si="9"/>
        <v>4179</v>
      </c>
      <c r="L23" s="38">
        <f t="shared" si="9"/>
        <v>1300</v>
      </c>
      <c r="M23" s="38">
        <f t="shared" si="9"/>
        <v>8309</v>
      </c>
      <c r="N23" s="38">
        <f t="shared" si="9"/>
        <v>1600</v>
      </c>
      <c r="O23" s="38">
        <f t="shared" si="9"/>
        <v>39701.337203342984</v>
      </c>
      <c r="P23" s="38">
        <f t="shared" ref="P23:AB23" si="10">SUM(P4:P22)</f>
        <v>321278.01438254589</v>
      </c>
      <c r="Q23" s="38">
        <f t="shared" si="10"/>
        <v>845.4644797725</v>
      </c>
      <c r="R23" s="38">
        <f t="shared" si="10"/>
        <v>3500</v>
      </c>
      <c r="S23" s="38">
        <f t="shared" si="10"/>
        <v>7525.194915877536</v>
      </c>
      <c r="T23" s="38">
        <f t="shared" si="10"/>
        <v>13094.355202544204</v>
      </c>
      <c r="U23" s="38">
        <f t="shared" si="10"/>
        <v>40602.060138138382</v>
      </c>
      <c r="V23" s="38">
        <f t="shared" si="10"/>
        <v>0</v>
      </c>
      <c r="W23" s="38">
        <f t="shared" si="10"/>
        <v>0</v>
      </c>
      <c r="X23" s="38">
        <f t="shared" si="10"/>
        <v>5673.86</v>
      </c>
      <c r="Y23" s="38">
        <f t="shared" si="10"/>
        <v>1933.28</v>
      </c>
      <c r="Z23" s="38">
        <f t="shared" si="10"/>
        <v>1933.28</v>
      </c>
      <c r="AA23" s="38">
        <f t="shared" si="10"/>
        <v>75107.494736332636</v>
      </c>
      <c r="AB23" s="38">
        <f t="shared" si="10"/>
        <v>246170.51964621322</v>
      </c>
      <c r="AC23" s="19"/>
    </row>
    <row r="24" spans="2:29" x14ac:dyDescent="0.25"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</row>
    <row r="25" spans="2:29" x14ac:dyDescent="0.25">
      <c r="B25" s="42"/>
      <c r="E25" s="40"/>
    </row>
    <row r="26" spans="2:29" x14ac:dyDescent="0.25">
      <c r="B26" s="42"/>
      <c r="E26" s="40"/>
    </row>
    <row r="28" spans="2:29" x14ac:dyDescent="0.25">
      <c r="P28" s="40"/>
    </row>
    <row r="29" spans="2:29" x14ac:dyDescent="0.25">
      <c r="B29" t="s">
        <v>87</v>
      </c>
      <c r="C29" t="s">
        <v>91</v>
      </c>
    </row>
    <row r="30" spans="2:29" x14ac:dyDescent="0.25">
      <c r="B30" t="s">
        <v>88</v>
      </c>
      <c r="C30" t="s">
        <v>92</v>
      </c>
    </row>
    <row r="31" spans="2:29" x14ac:dyDescent="0.25">
      <c r="B31" t="s">
        <v>89</v>
      </c>
      <c r="C31" t="s">
        <v>93</v>
      </c>
    </row>
    <row r="32" spans="2:29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ageMargins left="0" right="0.70866141732283472" top="0" bottom="0" header="0.31496062992125984" footer="0.31496062992125984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"/>
  <sheetViews>
    <sheetView workbookViewId="0">
      <selection activeCell="B21" sqref="B21"/>
    </sheetView>
  </sheetViews>
  <sheetFormatPr baseColWidth="10" defaultColWidth="11.42578125" defaultRowHeight="15" x14ac:dyDescent="0.25"/>
  <cols>
    <col min="1" max="1" width="3.140625" customWidth="1"/>
    <col min="2" max="2" width="7.5703125" customWidth="1"/>
    <col min="3" max="3" width="29.28515625" customWidth="1"/>
    <col min="4" max="4" width="6" customWidth="1"/>
    <col min="5" max="5" width="10.5703125" customWidth="1"/>
    <col min="6" max="6" width="10.140625" customWidth="1"/>
    <col min="7" max="7" width="8.85546875" customWidth="1"/>
    <col min="8" max="8" width="9.7109375" customWidth="1"/>
    <col min="9" max="9" width="9" customWidth="1"/>
    <col min="10" max="11" width="8.85546875" customWidth="1"/>
    <col min="12" max="15" width="8.7109375" customWidth="1"/>
    <col min="16" max="16" width="12.5703125" bestFit="1" customWidth="1"/>
    <col min="17" max="17" width="7.42578125" customWidth="1"/>
    <col min="18" max="19" width="8.7109375" bestFit="1" customWidth="1"/>
    <col min="20" max="20" width="9" customWidth="1"/>
    <col min="21" max="21" width="9.5703125" customWidth="1"/>
    <col min="22" max="22" width="7.85546875" customWidth="1"/>
    <col min="23" max="24" width="8.5703125" customWidth="1"/>
    <col min="25" max="26" width="10.140625" customWidth="1"/>
    <col min="27" max="27" width="9.5703125" customWidth="1"/>
    <col min="28" max="28" width="12.5703125" bestFit="1" customWidth="1"/>
    <col min="29" max="29" width="14.140625" bestFit="1" customWidth="1"/>
  </cols>
  <sheetData>
    <row r="1" spans="2:28" ht="18.75" x14ac:dyDescent="0.25">
      <c r="E1" s="1"/>
      <c r="F1" s="2" t="s">
        <v>67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8" ht="16.5" thickBot="1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28" ht="48.75" customHeight="1" x14ac:dyDescent="0.25">
      <c r="B3" s="47"/>
      <c r="C3" s="47" t="s">
        <v>1</v>
      </c>
      <c r="D3" s="4" t="s">
        <v>2</v>
      </c>
      <c r="E3" s="47" t="s">
        <v>3</v>
      </c>
      <c r="F3" s="47" t="s">
        <v>4</v>
      </c>
      <c r="G3" s="47" t="s">
        <v>5</v>
      </c>
      <c r="H3" s="47" t="s">
        <v>7</v>
      </c>
      <c r="I3" s="47" t="s">
        <v>8</v>
      </c>
      <c r="J3" s="47" t="s">
        <v>9</v>
      </c>
      <c r="K3" s="47" t="s">
        <v>10</v>
      </c>
      <c r="L3" s="47" t="s">
        <v>11</v>
      </c>
      <c r="M3" s="47" t="s">
        <v>12</v>
      </c>
      <c r="N3" s="47" t="s">
        <v>13</v>
      </c>
      <c r="O3" s="47" t="s">
        <v>68</v>
      </c>
      <c r="P3" s="48" t="s">
        <v>96</v>
      </c>
      <c r="Q3" s="5" t="s">
        <v>15</v>
      </c>
      <c r="R3" s="5" t="s">
        <v>16</v>
      </c>
      <c r="S3" s="5" t="s">
        <v>17</v>
      </c>
      <c r="T3" s="5" t="s">
        <v>18</v>
      </c>
      <c r="U3" s="5" t="s">
        <v>19</v>
      </c>
      <c r="V3" s="6" t="s">
        <v>20</v>
      </c>
      <c r="W3" s="6" t="s">
        <v>21</v>
      </c>
      <c r="X3" s="7" t="s">
        <v>22</v>
      </c>
      <c r="Y3" s="49" t="s">
        <v>83</v>
      </c>
      <c r="Z3" s="49" t="s">
        <v>84</v>
      </c>
      <c r="AA3" s="49" t="s">
        <v>85</v>
      </c>
      <c r="AB3" s="50" t="s">
        <v>86</v>
      </c>
    </row>
    <row r="4" spans="2:28" x14ac:dyDescent="0.25">
      <c r="B4" s="8" t="s">
        <v>87</v>
      </c>
      <c r="C4" s="9" t="s">
        <v>23</v>
      </c>
      <c r="D4" s="10">
        <v>17</v>
      </c>
      <c r="E4" s="11">
        <v>19286.689999999999</v>
      </c>
      <c r="F4" s="13">
        <v>200</v>
      </c>
      <c r="G4" s="12"/>
      <c r="H4" s="13"/>
      <c r="I4" s="12"/>
      <c r="J4" s="12"/>
      <c r="K4" s="12"/>
      <c r="L4" s="12"/>
      <c r="M4" s="12"/>
      <c r="N4" s="14"/>
      <c r="O4" s="14"/>
      <c r="P4" s="15">
        <f>SUM(E4:O4)</f>
        <v>19486.689999999999</v>
      </c>
      <c r="Q4" s="12"/>
      <c r="R4" s="12"/>
      <c r="S4" s="12"/>
      <c r="T4" s="12">
        <f t="shared" ref="T4:T18" si="0">(E4*0.07)</f>
        <v>1350.0683000000001</v>
      </c>
      <c r="U4" s="12">
        <v>3388.3970879999997</v>
      </c>
      <c r="V4" s="16"/>
      <c r="W4" s="17"/>
      <c r="X4" s="17"/>
      <c r="Y4" s="17"/>
      <c r="Z4" s="17"/>
      <c r="AA4" s="17">
        <f>SUM(Q4:Z4)</f>
        <v>4738.4653879999996</v>
      </c>
      <c r="AB4" s="18">
        <f>+P4-AA4</f>
        <v>14748.224611999998</v>
      </c>
    </row>
    <row r="5" spans="2:28" x14ac:dyDescent="0.25">
      <c r="B5" s="8" t="s">
        <v>87</v>
      </c>
      <c r="C5" s="9" t="s">
        <v>25</v>
      </c>
      <c r="D5" s="10">
        <v>14</v>
      </c>
      <c r="E5" s="11">
        <v>14917.51</v>
      </c>
      <c r="F5" s="13">
        <v>200</v>
      </c>
      <c r="G5" s="20"/>
      <c r="H5" s="13"/>
      <c r="I5" s="20"/>
      <c r="J5" s="20"/>
      <c r="K5" s="20"/>
      <c r="L5" s="20"/>
      <c r="M5" s="20"/>
      <c r="N5" s="21"/>
      <c r="O5" s="21"/>
      <c r="P5" s="15">
        <f t="shared" ref="P5:P21" si="1">SUM(E5:O5)</f>
        <v>15117.51</v>
      </c>
      <c r="Q5" s="20"/>
      <c r="R5" s="20"/>
      <c r="S5" s="20"/>
      <c r="T5" s="12">
        <f t="shared" si="0"/>
        <v>1044.2257000000002</v>
      </c>
      <c r="U5" s="20">
        <v>2373.7416400000002</v>
      </c>
      <c r="V5" s="22"/>
      <c r="W5" s="23"/>
      <c r="X5" s="23"/>
      <c r="Y5" s="23"/>
      <c r="Z5" s="23"/>
      <c r="AA5" s="17">
        <f t="shared" ref="AA5:AA21" si="2">SUM(Q5:Z5)</f>
        <v>3417.9673400000001</v>
      </c>
      <c r="AB5" s="18">
        <f t="shared" ref="AB5:AB21" si="3">+P5-AA5</f>
        <v>11699.542659999999</v>
      </c>
    </row>
    <row r="6" spans="2:28" ht="15" customHeight="1" x14ac:dyDescent="0.25">
      <c r="B6" s="8" t="s">
        <v>88</v>
      </c>
      <c r="C6" s="9" t="s">
        <v>27</v>
      </c>
      <c r="D6" s="10">
        <v>13</v>
      </c>
      <c r="E6" s="11">
        <v>15022.1</v>
      </c>
      <c r="F6" s="13">
        <v>900</v>
      </c>
      <c r="G6" s="13">
        <v>900</v>
      </c>
      <c r="H6" s="13">
        <v>900</v>
      </c>
      <c r="I6" s="13">
        <v>3000</v>
      </c>
      <c r="J6" s="20">
        <v>3341.8</v>
      </c>
      <c r="K6" s="20">
        <v>733</v>
      </c>
      <c r="L6" s="13"/>
      <c r="M6" s="20"/>
      <c r="N6" s="21">
        <f t="shared" ref="N6:N18" si="4">(E6/15)*2</f>
        <v>2002.9466666666667</v>
      </c>
      <c r="O6" s="21"/>
      <c r="P6" s="15">
        <f t="shared" si="1"/>
        <v>26799.846666666665</v>
      </c>
      <c r="Q6" s="20"/>
      <c r="R6" s="20"/>
      <c r="S6" s="20"/>
      <c r="T6" s="12">
        <f t="shared" si="0"/>
        <v>1051.547</v>
      </c>
      <c r="U6" s="20">
        <v>3429.3885280000004</v>
      </c>
      <c r="V6" s="22"/>
      <c r="W6" s="23"/>
      <c r="X6" s="23"/>
      <c r="Y6" s="23"/>
      <c r="Z6" s="23"/>
      <c r="AA6" s="17">
        <f t="shared" si="2"/>
        <v>4480.935528</v>
      </c>
      <c r="AB6" s="18">
        <f t="shared" si="3"/>
        <v>22318.911138666663</v>
      </c>
    </row>
    <row r="7" spans="2:28" ht="15" customHeight="1" x14ac:dyDescent="0.25">
      <c r="B7" s="8" t="s">
        <v>88</v>
      </c>
      <c r="C7" s="9" t="s">
        <v>28</v>
      </c>
      <c r="D7" s="10">
        <v>13</v>
      </c>
      <c r="E7" s="11">
        <v>15022.1</v>
      </c>
      <c r="F7" s="13">
        <v>900</v>
      </c>
      <c r="G7" s="13">
        <v>900</v>
      </c>
      <c r="H7" s="13">
        <v>900</v>
      </c>
      <c r="I7" s="13">
        <v>3000</v>
      </c>
      <c r="J7" s="20">
        <v>3341.8</v>
      </c>
      <c r="K7" s="20">
        <v>733</v>
      </c>
      <c r="L7" s="13"/>
      <c r="M7" s="20"/>
      <c r="N7" s="21">
        <f t="shared" si="4"/>
        <v>2002.9466666666667</v>
      </c>
      <c r="O7" s="21"/>
      <c r="P7" s="15">
        <f t="shared" si="1"/>
        <v>26799.846666666665</v>
      </c>
      <c r="Q7" s="20"/>
      <c r="R7" s="20"/>
      <c r="S7" s="20"/>
      <c r="T7" s="12">
        <f t="shared" si="0"/>
        <v>1051.547</v>
      </c>
      <c r="U7" s="20">
        <v>3429.3885280000004</v>
      </c>
      <c r="V7" s="22"/>
      <c r="W7" s="23"/>
      <c r="X7" s="23"/>
      <c r="Y7" s="23"/>
      <c r="Z7" s="23"/>
      <c r="AA7" s="17">
        <f t="shared" si="2"/>
        <v>4480.935528</v>
      </c>
      <c r="AB7" s="18">
        <f t="shared" si="3"/>
        <v>22318.911138666663</v>
      </c>
    </row>
    <row r="8" spans="2:28" ht="15" customHeight="1" x14ac:dyDescent="0.25">
      <c r="B8" s="8" t="s">
        <v>88</v>
      </c>
      <c r="C8" s="9" t="s">
        <v>29</v>
      </c>
      <c r="D8" s="10">
        <v>9</v>
      </c>
      <c r="E8" s="11">
        <v>11333.03</v>
      </c>
      <c r="F8" s="13">
        <v>900</v>
      </c>
      <c r="G8" s="13">
        <v>900</v>
      </c>
      <c r="H8" s="13">
        <v>900</v>
      </c>
      <c r="I8" s="13">
        <v>1050</v>
      </c>
      <c r="J8" s="20">
        <v>1803.2</v>
      </c>
      <c r="K8" s="20">
        <v>675</v>
      </c>
      <c r="L8" s="13"/>
      <c r="M8" s="20"/>
      <c r="N8" s="21">
        <f t="shared" si="4"/>
        <v>1511.0706666666667</v>
      </c>
      <c r="O8" s="21"/>
      <c r="P8" s="15">
        <f t="shared" si="1"/>
        <v>19072.300666666666</v>
      </c>
      <c r="Q8" s="20"/>
      <c r="R8" s="20"/>
      <c r="S8" s="20"/>
      <c r="T8" s="12">
        <f t="shared" si="0"/>
        <v>793.3121000000001</v>
      </c>
      <c r="U8" s="20">
        <v>2124.9308192000003</v>
      </c>
      <c r="V8" s="22"/>
      <c r="W8" s="23"/>
      <c r="X8" s="23">
        <v>2938.2</v>
      </c>
      <c r="Y8" s="23"/>
      <c r="Z8" s="23"/>
      <c r="AA8" s="17">
        <f t="shared" si="2"/>
        <v>5856.4429192000007</v>
      </c>
      <c r="AB8" s="18">
        <f t="shared" si="3"/>
        <v>13215.857747466665</v>
      </c>
    </row>
    <row r="9" spans="2:28" ht="15" customHeight="1" x14ac:dyDescent="0.25">
      <c r="B9" s="8" t="s">
        <v>89</v>
      </c>
      <c r="C9" s="9" t="s">
        <v>30</v>
      </c>
      <c r="D9" s="10">
        <v>10</v>
      </c>
      <c r="E9" s="11">
        <v>15424.35954953621</v>
      </c>
      <c r="F9" s="13">
        <v>1100</v>
      </c>
      <c r="G9" s="13">
        <v>1133</v>
      </c>
      <c r="H9" s="13">
        <v>1140</v>
      </c>
      <c r="I9" s="13">
        <v>1150</v>
      </c>
      <c r="J9" s="20">
        <v>1934.8</v>
      </c>
      <c r="K9" s="20">
        <v>787</v>
      </c>
      <c r="L9" s="13"/>
      <c r="M9" s="20">
        <v>945</v>
      </c>
      <c r="N9" s="21">
        <f t="shared" si="4"/>
        <v>2056.5812732714944</v>
      </c>
      <c r="O9" s="21"/>
      <c r="P9" s="15">
        <f t="shared" si="1"/>
        <v>25670.740822807704</v>
      </c>
      <c r="Q9" s="20"/>
      <c r="R9" s="20"/>
      <c r="S9" s="20">
        <f t="shared" ref="S9:S18" si="5">(E9*0.07)</f>
        <v>1079.7051684675348</v>
      </c>
      <c r="T9" s="12">
        <f t="shared" si="0"/>
        <v>1079.7051684675348</v>
      </c>
      <c r="U9" s="20">
        <v>3264.7666037876443</v>
      </c>
      <c r="V9" s="22"/>
      <c r="W9" s="23"/>
      <c r="X9" s="23"/>
      <c r="Y9" s="23"/>
      <c r="Z9" s="23"/>
      <c r="AA9" s="17">
        <f t="shared" si="2"/>
        <v>5424.1769407227139</v>
      </c>
      <c r="AB9" s="18">
        <f t="shared" si="3"/>
        <v>20246.563882084989</v>
      </c>
    </row>
    <row r="10" spans="2:28" ht="15" customHeight="1" x14ac:dyDescent="0.25">
      <c r="B10" s="8" t="s">
        <v>89</v>
      </c>
      <c r="C10" s="9" t="s">
        <v>31</v>
      </c>
      <c r="D10" s="10">
        <v>8</v>
      </c>
      <c r="E10" s="11">
        <v>13360.854858749999</v>
      </c>
      <c r="F10" s="13">
        <v>1100</v>
      </c>
      <c r="G10" s="13">
        <v>1133</v>
      </c>
      <c r="H10" s="13">
        <v>1140</v>
      </c>
      <c r="I10" s="13">
        <v>1000</v>
      </c>
      <c r="J10" s="12">
        <v>1677.2</v>
      </c>
      <c r="K10" s="12">
        <f>662+100</f>
        <v>762</v>
      </c>
      <c r="L10" s="13">
        <f>225</f>
        <v>225</v>
      </c>
      <c r="M10" s="13">
        <v>838</v>
      </c>
      <c r="N10" s="21"/>
      <c r="O10" s="21">
        <v>7000</v>
      </c>
      <c r="P10" s="15">
        <f t="shared" si="1"/>
        <v>28236.054858749998</v>
      </c>
      <c r="Q10" s="20">
        <f t="shared" ref="Q10:Q17" si="6">(E10*0.01)</f>
        <v>133.6085485875</v>
      </c>
      <c r="R10" s="20">
        <f>1000</f>
        <v>1000</v>
      </c>
      <c r="S10" s="20">
        <f t="shared" si="5"/>
        <v>935.2598401125</v>
      </c>
      <c r="T10" s="12">
        <f t="shared" si="0"/>
        <v>935.2598401125</v>
      </c>
      <c r="U10" s="20">
        <v>3332.5993827779998</v>
      </c>
      <c r="V10" s="22"/>
      <c r="W10" s="23"/>
      <c r="X10" s="23"/>
      <c r="Y10" s="23">
        <f>966.64</f>
        <v>966.64</v>
      </c>
      <c r="Z10" s="23"/>
      <c r="AA10" s="17">
        <f t="shared" si="2"/>
        <v>7303.3676115905009</v>
      </c>
      <c r="AB10" s="18">
        <f t="shared" si="3"/>
        <v>20932.687247159498</v>
      </c>
    </row>
    <row r="11" spans="2:28" ht="22.5" x14ac:dyDescent="0.25">
      <c r="B11" s="8" t="s">
        <v>89</v>
      </c>
      <c r="C11" s="25" t="s">
        <v>32</v>
      </c>
      <c r="D11" s="26">
        <v>7</v>
      </c>
      <c r="E11" s="11">
        <v>12482.481170250001</v>
      </c>
      <c r="F11" s="13">
        <v>1100</v>
      </c>
      <c r="G11" s="13">
        <v>1133</v>
      </c>
      <c r="H11" s="13">
        <v>1140</v>
      </c>
      <c r="I11" s="13"/>
      <c r="J11" s="12">
        <v>1565.2</v>
      </c>
      <c r="K11" s="12">
        <f>651+100</f>
        <v>751</v>
      </c>
      <c r="L11" s="20">
        <v>325</v>
      </c>
      <c r="M11" s="20">
        <v>793</v>
      </c>
      <c r="N11" s="21"/>
      <c r="O11" s="21">
        <v>7000</v>
      </c>
      <c r="P11" s="15">
        <f t="shared" si="1"/>
        <v>26289.681170250002</v>
      </c>
      <c r="Q11" s="20">
        <f t="shared" si="6"/>
        <v>124.82481170250001</v>
      </c>
      <c r="R11" s="20"/>
      <c r="S11" s="20">
        <f t="shared" si="5"/>
        <v>873.7736819175002</v>
      </c>
      <c r="T11" s="12">
        <f t="shared" si="0"/>
        <v>873.7736819175002</v>
      </c>
      <c r="U11" s="20">
        <v>3012.1690912427998</v>
      </c>
      <c r="V11" s="23"/>
      <c r="W11" s="22"/>
      <c r="X11" s="22"/>
      <c r="Y11" s="22"/>
      <c r="Z11" s="22"/>
      <c r="AA11" s="17">
        <f t="shared" si="2"/>
        <v>4884.5412667803002</v>
      </c>
      <c r="AB11" s="18">
        <f t="shared" si="3"/>
        <v>21405.139903469702</v>
      </c>
    </row>
    <row r="12" spans="2:28" x14ac:dyDescent="0.25">
      <c r="B12" s="8" t="s">
        <v>89</v>
      </c>
      <c r="C12" s="25" t="s">
        <v>33</v>
      </c>
      <c r="D12" s="26">
        <v>7</v>
      </c>
      <c r="E12" s="11">
        <v>12482.481170250001</v>
      </c>
      <c r="F12" s="13">
        <v>1100</v>
      </c>
      <c r="G12" s="13">
        <v>1133</v>
      </c>
      <c r="H12" s="13">
        <v>1140</v>
      </c>
      <c r="I12" s="13"/>
      <c r="J12" s="12">
        <v>1565.2</v>
      </c>
      <c r="K12" s="12">
        <f>651+100</f>
        <v>751</v>
      </c>
      <c r="L12" s="20"/>
      <c r="M12" s="20">
        <v>793</v>
      </c>
      <c r="N12" s="21">
        <f t="shared" si="4"/>
        <v>1664.3308227000002</v>
      </c>
      <c r="O12" s="21">
        <v>7000</v>
      </c>
      <c r="P12" s="15">
        <f t="shared" si="1"/>
        <v>27629.011992950003</v>
      </c>
      <c r="Q12" s="20">
        <f t="shared" si="6"/>
        <v>124.82481170250001</v>
      </c>
      <c r="R12" s="20"/>
      <c r="S12" s="20">
        <f t="shared" si="5"/>
        <v>873.7736819175002</v>
      </c>
      <c r="T12" s="12">
        <f t="shared" si="0"/>
        <v>873.7736819175002</v>
      </c>
      <c r="U12" s="20">
        <v>3131.4543959923208</v>
      </c>
      <c r="V12" s="22"/>
      <c r="W12" s="23"/>
      <c r="X12" s="22"/>
      <c r="Y12" s="22"/>
      <c r="Z12" s="22"/>
      <c r="AA12" s="17">
        <f t="shared" si="2"/>
        <v>5003.8265715298212</v>
      </c>
      <c r="AB12" s="18">
        <f t="shared" si="3"/>
        <v>22625.185421420181</v>
      </c>
    </row>
    <row r="13" spans="2:28" x14ac:dyDescent="0.25">
      <c r="B13" s="8" t="s">
        <v>89</v>
      </c>
      <c r="C13" s="9" t="s">
        <v>35</v>
      </c>
      <c r="D13" s="10">
        <v>5</v>
      </c>
      <c r="E13" s="11">
        <v>10948.878517500001</v>
      </c>
      <c r="F13" s="13">
        <v>1100</v>
      </c>
      <c r="G13" s="13">
        <v>1133</v>
      </c>
      <c r="H13" s="13">
        <v>1140</v>
      </c>
      <c r="I13" s="13"/>
      <c r="J13" s="13">
        <v>1241.8</v>
      </c>
      <c r="K13" s="13">
        <f>632+100</f>
        <v>732</v>
      </c>
      <c r="L13" s="13">
        <v>150</v>
      </c>
      <c r="M13" s="20">
        <v>713</v>
      </c>
      <c r="N13" s="21">
        <f t="shared" si="4"/>
        <v>1459.8504690000002</v>
      </c>
      <c r="O13" s="21"/>
      <c r="P13" s="15">
        <f t="shared" si="1"/>
        <v>18618.528986500001</v>
      </c>
      <c r="Q13" s="20">
        <f t="shared" si="6"/>
        <v>109.48878517500002</v>
      </c>
      <c r="R13" s="20">
        <f>500</f>
        <v>500</v>
      </c>
      <c r="S13" s="20">
        <f t="shared" si="5"/>
        <v>766.42149622500017</v>
      </c>
      <c r="T13" s="12">
        <f t="shared" si="0"/>
        <v>766.42149622500017</v>
      </c>
      <c r="U13" s="20">
        <v>1979.5842254272006</v>
      </c>
      <c r="V13" s="22"/>
      <c r="W13" s="23"/>
      <c r="X13" s="23"/>
      <c r="Y13" s="23"/>
      <c r="Z13" s="23"/>
      <c r="AA13" s="17">
        <f t="shared" si="2"/>
        <v>4121.9160030522016</v>
      </c>
      <c r="AB13" s="18">
        <f t="shared" si="3"/>
        <v>14496.6129834478</v>
      </c>
    </row>
    <row r="14" spans="2:28" x14ac:dyDescent="0.25">
      <c r="B14" s="8" t="s">
        <v>89</v>
      </c>
      <c r="C14" s="9" t="s">
        <v>36</v>
      </c>
      <c r="D14" s="10">
        <v>4</v>
      </c>
      <c r="E14" s="11">
        <v>9610.9981694999988</v>
      </c>
      <c r="F14" s="13">
        <v>1100</v>
      </c>
      <c r="G14" s="13">
        <v>1133</v>
      </c>
      <c r="H14" s="13">
        <v>1140</v>
      </c>
      <c r="I14" s="13"/>
      <c r="J14" s="13">
        <v>845.6</v>
      </c>
      <c r="K14" s="13">
        <f>615+100</f>
        <v>715</v>
      </c>
      <c r="L14" s="13">
        <v>150</v>
      </c>
      <c r="M14" s="20">
        <v>644</v>
      </c>
      <c r="N14" s="21">
        <f t="shared" si="4"/>
        <v>1281.4664225999998</v>
      </c>
      <c r="O14" s="21">
        <v>7000</v>
      </c>
      <c r="P14" s="15">
        <f t="shared" si="1"/>
        <v>23620.0645921</v>
      </c>
      <c r="Q14" s="20">
        <f t="shared" si="6"/>
        <v>96.109981694999988</v>
      </c>
      <c r="R14" s="20"/>
      <c r="S14" s="20">
        <f t="shared" si="5"/>
        <v>672.76987186500003</v>
      </c>
      <c r="T14" s="12">
        <f t="shared" si="0"/>
        <v>672.76987186500003</v>
      </c>
      <c r="U14" s="20">
        <v>2354.8426069388797</v>
      </c>
      <c r="V14" s="22"/>
      <c r="W14" s="23"/>
      <c r="X14" s="23"/>
      <c r="Y14" s="23"/>
      <c r="Z14" s="23"/>
      <c r="AA14" s="17">
        <f t="shared" si="2"/>
        <v>3796.4923323638795</v>
      </c>
      <c r="AB14" s="18">
        <f t="shared" si="3"/>
        <v>19823.57225973612</v>
      </c>
    </row>
    <row r="15" spans="2:28" x14ac:dyDescent="0.25">
      <c r="B15" s="8" t="s">
        <v>89</v>
      </c>
      <c r="C15" s="9" t="s">
        <v>37</v>
      </c>
      <c r="D15" s="10">
        <v>4</v>
      </c>
      <c r="E15" s="11">
        <v>9610.9981694999988</v>
      </c>
      <c r="F15" s="13">
        <v>1100</v>
      </c>
      <c r="G15" s="13">
        <v>1133</v>
      </c>
      <c r="H15" s="13">
        <v>1140</v>
      </c>
      <c r="I15" s="13"/>
      <c r="J15" s="13">
        <v>845.6</v>
      </c>
      <c r="K15" s="13">
        <f>615+100</f>
        <v>715</v>
      </c>
      <c r="L15" s="13">
        <v>150</v>
      </c>
      <c r="M15" s="20">
        <v>644</v>
      </c>
      <c r="N15" s="21">
        <f t="shared" si="4"/>
        <v>1281.4664225999998</v>
      </c>
      <c r="O15" s="21"/>
      <c r="P15" s="15">
        <f t="shared" si="1"/>
        <v>16620.0645921</v>
      </c>
      <c r="Q15" s="20">
        <f t="shared" si="6"/>
        <v>96.109981694999988</v>
      </c>
      <c r="R15" s="20">
        <f>500</f>
        <v>500</v>
      </c>
      <c r="S15" s="20">
        <f t="shared" si="5"/>
        <v>672.76987186500003</v>
      </c>
      <c r="T15" s="12">
        <f t="shared" si="0"/>
        <v>672.76987186500003</v>
      </c>
      <c r="U15" s="20">
        <v>1623.2626069388796</v>
      </c>
      <c r="V15" s="22"/>
      <c r="W15" s="23"/>
      <c r="X15" s="23"/>
      <c r="Y15" s="23"/>
      <c r="Z15" s="23"/>
      <c r="AA15" s="17">
        <f t="shared" si="2"/>
        <v>3564.9123323638796</v>
      </c>
      <c r="AB15" s="18">
        <f t="shared" si="3"/>
        <v>13055.15225973612</v>
      </c>
    </row>
    <row r="16" spans="2:28" x14ac:dyDescent="0.25">
      <c r="B16" s="8" t="s">
        <v>89</v>
      </c>
      <c r="C16" s="9" t="s">
        <v>38</v>
      </c>
      <c r="D16" s="10">
        <v>2</v>
      </c>
      <c r="E16" s="11">
        <v>8024.8779607499991</v>
      </c>
      <c r="F16" s="13">
        <v>1100</v>
      </c>
      <c r="G16" s="13">
        <v>1133</v>
      </c>
      <c r="H16" s="13">
        <v>1140</v>
      </c>
      <c r="I16" s="13"/>
      <c r="J16" s="13">
        <v>704.2</v>
      </c>
      <c r="K16" s="13">
        <f>595+100</f>
        <v>695</v>
      </c>
      <c r="L16" s="13">
        <v>150</v>
      </c>
      <c r="M16" s="20">
        <v>561</v>
      </c>
      <c r="N16" s="21">
        <f t="shared" si="4"/>
        <v>1069.9837280999998</v>
      </c>
      <c r="O16" s="21"/>
      <c r="P16" s="15">
        <f t="shared" si="1"/>
        <v>14578.061688850001</v>
      </c>
      <c r="Q16" s="20">
        <f t="shared" si="6"/>
        <v>80.248779607499998</v>
      </c>
      <c r="R16" s="20">
        <f>1000</f>
        <v>1000</v>
      </c>
      <c r="S16" s="20">
        <f t="shared" si="5"/>
        <v>561.74145725250003</v>
      </c>
      <c r="T16" s="12">
        <f t="shared" si="0"/>
        <v>561.74145725250003</v>
      </c>
      <c r="U16" s="20">
        <v>1235.7790585772798</v>
      </c>
      <c r="V16" s="22"/>
      <c r="W16" s="23"/>
      <c r="X16" s="23"/>
      <c r="Y16" s="23"/>
      <c r="Z16" s="23"/>
      <c r="AA16" s="17">
        <f t="shared" si="2"/>
        <v>3439.51075268978</v>
      </c>
      <c r="AB16" s="18">
        <f t="shared" si="3"/>
        <v>11138.55093616022</v>
      </c>
    </row>
    <row r="17" spans="2:28" x14ac:dyDescent="0.25">
      <c r="B17" s="8" t="s">
        <v>89</v>
      </c>
      <c r="C17" s="9" t="s">
        <v>39</v>
      </c>
      <c r="D17" s="10">
        <v>2</v>
      </c>
      <c r="E17" s="11">
        <v>8024.8779607499991</v>
      </c>
      <c r="F17" s="13">
        <v>1100</v>
      </c>
      <c r="G17" s="13">
        <v>1133</v>
      </c>
      <c r="H17" s="13">
        <v>1140</v>
      </c>
      <c r="I17" s="13"/>
      <c r="J17" s="13">
        <v>704.2</v>
      </c>
      <c r="K17" s="13">
        <f>595+100</f>
        <v>695</v>
      </c>
      <c r="L17" s="13">
        <v>150</v>
      </c>
      <c r="M17" s="20">
        <v>561</v>
      </c>
      <c r="N17" s="21"/>
      <c r="O17" s="21"/>
      <c r="P17" s="15">
        <f t="shared" si="1"/>
        <v>13508.077960750001</v>
      </c>
      <c r="Q17" s="20">
        <f t="shared" si="6"/>
        <v>80.248779607499998</v>
      </c>
      <c r="R17" s="20">
        <f>500</f>
        <v>500</v>
      </c>
      <c r="S17" s="20">
        <f t="shared" si="5"/>
        <v>561.74145725250003</v>
      </c>
      <c r="T17" s="12">
        <f t="shared" si="0"/>
        <v>561.74145725250003</v>
      </c>
      <c r="U17" s="20">
        <v>1121.5047964162</v>
      </c>
      <c r="V17" s="22"/>
      <c r="W17" s="23"/>
      <c r="X17" s="23"/>
      <c r="Y17" s="23">
        <f>966.64</f>
        <v>966.64</v>
      </c>
      <c r="Z17" s="23">
        <f>1933.28</f>
        <v>1933.28</v>
      </c>
      <c r="AA17" s="17">
        <f t="shared" si="2"/>
        <v>5725.1564905286996</v>
      </c>
      <c r="AB17" s="18">
        <f t="shared" si="3"/>
        <v>7782.9214702213012</v>
      </c>
    </row>
    <row r="18" spans="2:28" ht="22.5" x14ac:dyDescent="0.25">
      <c r="B18" s="8" t="s">
        <v>89</v>
      </c>
      <c r="C18" s="9" t="s">
        <v>41</v>
      </c>
      <c r="D18" s="10">
        <v>1</v>
      </c>
      <c r="E18" s="11">
        <v>7531.9769857499987</v>
      </c>
      <c r="F18" s="13">
        <v>1100</v>
      </c>
      <c r="G18" s="13">
        <v>1133</v>
      </c>
      <c r="H18" s="13">
        <v>1140</v>
      </c>
      <c r="I18" s="13"/>
      <c r="J18" s="13">
        <v>658</v>
      </c>
      <c r="K18" s="13">
        <f>589+100</f>
        <v>689</v>
      </c>
      <c r="L18" s="13">
        <v>150</v>
      </c>
      <c r="M18" s="20">
        <v>536</v>
      </c>
      <c r="N18" s="21">
        <f t="shared" si="4"/>
        <v>1004.2635980999999</v>
      </c>
      <c r="O18" s="21">
        <v>7000</v>
      </c>
      <c r="P18" s="15">
        <f t="shared" si="1"/>
        <v>20942.240583849998</v>
      </c>
      <c r="Q18" s="20"/>
      <c r="R18" s="20"/>
      <c r="S18" s="20">
        <f t="shared" si="5"/>
        <v>527.23838900249996</v>
      </c>
      <c r="T18" s="12">
        <f t="shared" si="0"/>
        <v>527.23838900249996</v>
      </c>
      <c r="U18" s="20">
        <v>1846.8115404332798</v>
      </c>
      <c r="V18" s="22"/>
      <c r="W18" s="23"/>
      <c r="X18" s="23">
        <v>2735.66</v>
      </c>
      <c r="Y18" s="23"/>
      <c r="Z18" s="23"/>
      <c r="AA18" s="17">
        <f t="shared" si="2"/>
        <v>5636.9483184382798</v>
      </c>
      <c r="AB18" s="18">
        <f t="shared" si="3"/>
        <v>15305.292265411717</v>
      </c>
    </row>
    <row r="19" spans="2:28" ht="22.5" x14ac:dyDescent="0.25">
      <c r="B19" s="8" t="s">
        <v>90</v>
      </c>
      <c r="C19" s="9" t="s">
        <v>42</v>
      </c>
      <c r="D19" s="10"/>
      <c r="E19" s="11">
        <v>6069.96</v>
      </c>
      <c r="F19" s="27"/>
      <c r="G19" s="27"/>
      <c r="H19" s="27"/>
      <c r="I19" s="27"/>
      <c r="J19" s="28"/>
      <c r="K19" s="28"/>
      <c r="L19" s="27"/>
      <c r="M19" s="28"/>
      <c r="N19" s="29"/>
      <c r="O19" s="29"/>
      <c r="P19" s="15">
        <f t="shared" si="1"/>
        <v>6069.96</v>
      </c>
      <c r="Q19" s="20"/>
      <c r="R19" s="28"/>
      <c r="S19" s="28"/>
      <c r="T19" s="12"/>
      <c r="U19" s="20">
        <v>527.76699999999994</v>
      </c>
      <c r="V19" s="22"/>
      <c r="W19" s="23"/>
      <c r="X19" s="23"/>
      <c r="Y19" s="23"/>
      <c r="Z19" s="23"/>
      <c r="AA19" s="17">
        <f t="shared" si="2"/>
        <v>527.76699999999994</v>
      </c>
      <c r="AB19" s="18">
        <f t="shared" si="3"/>
        <v>5542.1930000000002</v>
      </c>
    </row>
    <row r="20" spans="2:28" x14ac:dyDescent="0.25">
      <c r="B20" s="8" t="s">
        <v>90</v>
      </c>
      <c r="C20" s="25" t="s">
        <v>43</v>
      </c>
      <c r="D20" s="31"/>
      <c r="E20" s="32">
        <v>3018.5</v>
      </c>
      <c r="F20" s="27"/>
      <c r="G20" s="27"/>
      <c r="H20" s="27"/>
      <c r="I20" s="27"/>
      <c r="J20" s="28"/>
      <c r="K20" s="28"/>
      <c r="L20" s="27"/>
      <c r="M20" s="28"/>
      <c r="N20" s="28"/>
      <c r="O20" s="29"/>
      <c r="P20" s="15">
        <f t="shared" si="1"/>
        <v>3018.5</v>
      </c>
      <c r="Q20" s="20"/>
      <c r="R20" s="28"/>
      <c r="S20" s="28"/>
      <c r="T20" s="12"/>
      <c r="U20" s="20">
        <v>176.47039999999998</v>
      </c>
      <c r="V20" s="22"/>
      <c r="W20" s="23"/>
      <c r="X20" s="23"/>
      <c r="Y20" s="23"/>
      <c r="Z20" s="23"/>
      <c r="AA20" s="17">
        <f t="shared" si="2"/>
        <v>176.47039999999998</v>
      </c>
      <c r="AB20" s="18">
        <f t="shared" si="3"/>
        <v>2842.0295999999998</v>
      </c>
    </row>
    <row r="21" spans="2:28" x14ac:dyDescent="0.25">
      <c r="B21" s="8" t="s">
        <v>44</v>
      </c>
      <c r="C21" s="25" t="s">
        <v>45</v>
      </c>
      <c r="D21" s="31"/>
      <c r="E21" s="32">
        <f>24876/2</f>
        <v>12438</v>
      </c>
      <c r="F21" s="27"/>
      <c r="G21" s="27"/>
      <c r="H21" s="27"/>
      <c r="I21" s="27"/>
      <c r="J21" s="28"/>
      <c r="K21" s="28"/>
      <c r="L21" s="27"/>
      <c r="M21" s="28"/>
      <c r="N21" s="28"/>
      <c r="O21" s="29"/>
      <c r="P21" s="15">
        <f t="shared" si="1"/>
        <v>12438</v>
      </c>
      <c r="Q21" s="28"/>
      <c r="R21" s="28"/>
      <c r="S21" s="28"/>
      <c r="T21" s="32"/>
      <c r="U21" s="28">
        <v>1936</v>
      </c>
      <c r="V21" s="33"/>
      <c r="W21" s="34"/>
      <c r="X21" s="34"/>
      <c r="Y21" s="34"/>
      <c r="Z21" s="34"/>
      <c r="AA21" s="17">
        <f t="shared" si="2"/>
        <v>1936</v>
      </c>
      <c r="AB21" s="18">
        <f t="shared" si="3"/>
        <v>10502</v>
      </c>
    </row>
    <row r="22" spans="2:28" ht="15.75" thickBot="1" x14ac:dyDescent="0.3">
      <c r="B22" s="35" t="s">
        <v>46</v>
      </c>
      <c r="C22" s="36"/>
      <c r="D22" s="37"/>
      <c r="E22" s="38">
        <f t="shared" ref="E22:AB22" si="7">SUM(E4:E21)</f>
        <v>204610.67451253618</v>
      </c>
      <c r="F22" s="38">
        <f t="shared" si="7"/>
        <v>14100</v>
      </c>
      <c r="G22" s="38">
        <f t="shared" si="7"/>
        <v>14030</v>
      </c>
      <c r="H22" s="38">
        <f t="shared" si="7"/>
        <v>14100</v>
      </c>
      <c r="I22" s="38">
        <f t="shared" si="7"/>
        <v>9200</v>
      </c>
      <c r="J22" s="38">
        <f t="shared" si="7"/>
        <v>20228.600000000002</v>
      </c>
      <c r="K22" s="38">
        <f t="shared" si="7"/>
        <v>9433</v>
      </c>
      <c r="L22" s="38">
        <f t="shared" si="7"/>
        <v>1450</v>
      </c>
      <c r="M22" s="38">
        <f t="shared" si="7"/>
        <v>7028</v>
      </c>
      <c r="N22" s="38">
        <f t="shared" si="7"/>
        <v>15334.906736371497</v>
      </c>
      <c r="O22" s="38">
        <f t="shared" si="7"/>
        <v>35000</v>
      </c>
      <c r="P22" s="38">
        <f t="shared" si="7"/>
        <v>344515.1812489077</v>
      </c>
      <c r="Q22" s="38">
        <f t="shared" si="7"/>
        <v>845.4644797725</v>
      </c>
      <c r="R22" s="38">
        <f t="shared" si="7"/>
        <v>3500</v>
      </c>
      <c r="S22" s="38">
        <f t="shared" si="7"/>
        <v>7525.194915877536</v>
      </c>
      <c r="T22" s="38">
        <f t="shared" si="7"/>
        <v>12815.895015877537</v>
      </c>
      <c r="U22" s="38">
        <f t="shared" si="7"/>
        <v>40288.858311732489</v>
      </c>
      <c r="V22" s="38">
        <f t="shared" si="7"/>
        <v>0</v>
      </c>
      <c r="W22" s="38">
        <f t="shared" si="7"/>
        <v>0</v>
      </c>
      <c r="X22" s="38">
        <f t="shared" si="7"/>
        <v>5673.86</v>
      </c>
      <c r="Y22" s="38">
        <f t="shared" si="7"/>
        <v>1933.28</v>
      </c>
      <c r="Z22" s="38">
        <f t="shared" si="7"/>
        <v>1933.28</v>
      </c>
      <c r="AA22" s="38">
        <f t="shared" si="7"/>
        <v>74515.832723260071</v>
      </c>
      <c r="AB22" s="38">
        <f t="shared" si="7"/>
        <v>269999.34852564766</v>
      </c>
    </row>
    <row r="23" spans="2:28" x14ac:dyDescent="0.25"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</row>
    <row r="29" spans="2:28" x14ac:dyDescent="0.25">
      <c r="B29" t="s">
        <v>87</v>
      </c>
      <c r="C29" t="s">
        <v>91</v>
      </c>
    </row>
    <row r="30" spans="2:28" x14ac:dyDescent="0.25">
      <c r="B30" t="s">
        <v>88</v>
      </c>
      <c r="C30" t="s">
        <v>92</v>
      </c>
    </row>
    <row r="31" spans="2:28" x14ac:dyDescent="0.25">
      <c r="B31" t="s">
        <v>89</v>
      </c>
      <c r="C31" t="s">
        <v>93</v>
      </c>
    </row>
    <row r="32" spans="2:28" x14ac:dyDescent="0.25">
      <c r="B32" t="s">
        <v>90</v>
      </c>
      <c r="C32" t="s">
        <v>94</v>
      </c>
    </row>
    <row r="33" spans="2:3" x14ac:dyDescent="0.25">
      <c r="B33" t="s">
        <v>44</v>
      </c>
      <c r="C33" t="s">
        <v>95</v>
      </c>
    </row>
  </sheetData>
  <printOptions horizontalCentered="1" verticalCentered="1"/>
  <pageMargins left="0" right="0.70866141732283472" top="0" bottom="0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ENERO 1</vt:lpstr>
      <vt:lpstr>ENERO 2</vt:lpstr>
      <vt:lpstr>FEBRERO</vt:lpstr>
      <vt:lpstr>FEBRERO 2</vt:lpstr>
      <vt:lpstr>MARZO 1</vt:lpstr>
      <vt:lpstr>MARZO 2</vt:lpstr>
      <vt:lpstr>ABRIL 1</vt:lpstr>
      <vt:lpstr>ABRIL 2</vt:lpstr>
      <vt:lpstr>MAYO 1</vt:lpstr>
      <vt:lpstr>MAYO 2</vt:lpstr>
      <vt:lpstr>JUNIO 1</vt:lpstr>
      <vt:lpstr>JUNIO 2</vt:lpstr>
      <vt:lpstr>JULIO 1</vt:lpstr>
      <vt:lpstr>JULIO 2</vt:lpstr>
      <vt:lpstr>AGOSTO 1</vt:lpstr>
      <vt:lpstr>AGOSTO 2</vt:lpstr>
      <vt:lpstr>SEPTIEMBRE 1</vt:lpstr>
      <vt:lpstr>SEPTIEMBRE 2</vt:lpstr>
      <vt:lpstr>OCTUBRE 1</vt:lpstr>
      <vt:lpstr>OCTUBRE 2</vt:lpstr>
      <vt:lpstr>NOVIEMBRE 1</vt:lpstr>
      <vt:lpstr>NOVIEMBRE 2</vt:lpstr>
      <vt:lpstr>DICIEMBRE 1</vt:lpstr>
      <vt:lpstr>DICIEMBRE 2</vt:lpstr>
      <vt:lpstr>AGUINALDO</vt:lpstr>
      <vt:lpstr>INCREMENTO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pueblos indigenas</dc:creator>
  <cp:lastModifiedBy>pueblos indigenas</cp:lastModifiedBy>
  <cp:lastPrinted>2024-07-26T17:28:47Z</cp:lastPrinted>
  <dcterms:created xsi:type="dcterms:W3CDTF">2024-01-12T16:28:04Z</dcterms:created>
  <dcterms:modified xsi:type="dcterms:W3CDTF">2025-01-17T19:32:42Z</dcterms:modified>
</cp:coreProperties>
</file>