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PARENCIA INDEPI\Downloads\"/>
    </mc:Choice>
  </mc:AlternateContent>
  <bookViews>
    <workbookView xWindow="0" yWindow="0" windowWidth="24000" windowHeight="9135" tabRatio="799"/>
  </bookViews>
  <sheets>
    <sheet name="AGOSTO 1" sheetId="15" r:id="rId1"/>
    <sheet name="AGOSTO 2" sheetId="16" r:id="rId2"/>
    <sheet name="SEPTIEMBRE 1" sheetId="17" r:id="rId3"/>
    <sheet name="SEPTIEMBRE 2" sheetId="18" r:id="rId4"/>
    <sheet name="OCTUBRE 1" sheetId="19" r:id="rId5"/>
    <sheet name="OCTUBRE 2" sheetId="20" r:id="rId6"/>
    <sheet name="NOVIEMBRE 1" sheetId="21" r:id="rId7"/>
    <sheet name="NOVIEMBRE 2" sheetId="22" r:id="rId8"/>
    <sheet name="INCREMENTO " sheetId="25" r:id="rId9"/>
    <sheet name="AGUINALDO" sheetId="26" r:id="rId10"/>
    <sheet name="DICIEMBRE 1" sheetId="23" r:id="rId11"/>
    <sheet name="DICIEMBRE 2" sheetId="24" r:id="rId12"/>
  </sheets>
  <externalReferences>
    <externalReference r:id="rId13"/>
  </externalReferences>
  <calcPr calcId="152511"/>
</workbook>
</file>

<file path=xl/calcChain.xml><?xml version="1.0" encoding="utf-8"?>
<calcChain xmlns="http://schemas.openxmlformats.org/spreadsheetml/2006/main">
  <c r="Y24" i="21" l="1"/>
  <c r="Z24" i="21"/>
  <c r="U25" i="22"/>
  <c r="V25" i="22"/>
  <c r="W25" i="22"/>
  <c r="X26" i="24"/>
  <c r="R26" i="24"/>
  <c r="P26" i="24"/>
  <c r="N26" i="24"/>
  <c r="M26" i="24"/>
  <c r="L26" i="24"/>
  <c r="K26" i="24"/>
  <c r="J26" i="24"/>
  <c r="I26" i="24"/>
  <c r="AB25" i="24"/>
  <c r="E25" i="24"/>
  <c r="G25" i="24" s="1"/>
  <c r="AB24" i="24"/>
  <c r="E24" i="24"/>
  <c r="G24" i="24" s="1"/>
  <c r="E23" i="24"/>
  <c r="G23" i="24" s="1"/>
  <c r="U22" i="24"/>
  <c r="Q22" i="24"/>
  <c r="E22" i="24"/>
  <c r="G22" i="24" s="1"/>
  <c r="AA21" i="24"/>
  <c r="AA26" i="24" s="1"/>
  <c r="Z21" i="24"/>
  <c r="U21" i="24"/>
  <c r="E21" i="24"/>
  <c r="F21" i="24" s="1"/>
  <c r="U20" i="24"/>
  <c r="Q20" i="24"/>
  <c r="E20" i="24"/>
  <c r="G20" i="24" s="1"/>
  <c r="U19" i="24"/>
  <c r="E19" i="24"/>
  <c r="G19" i="24" s="1"/>
  <c r="E18" i="24"/>
  <c r="F18" i="24" s="1"/>
  <c r="U17" i="24"/>
  <c r="E17" i="24"/>
  <c r="F17" i="24" s="1"/>
  <c r="Y16" i="24"/>
  <c r="Y26" i="24" s="1"/>
  <c r="O16" i="24"/>
  <c r="E16" i="24"/>
  <c r="G16" i="24" s="1"/>
  <c r="Q15" i="24"/>
  <c r="E15" i="24"/>
  <c r="G15" i="24" s="1"/>
  <c r="E14" i="24"/>
  <c r="G14" i="24" s="1"/>
  <c r="Z13" i="24"/>
  <c r="U13" i="24"/>
  <c r="O13" i="24"/>
  <c r="E13" i="24"/>
  <c r="G13" i="24" s="1"/>
  <c r="E12" i="24"/>
  <c r="G12" i="24" s="1"/>
  <c r="E11" i="24"/>
  <c r="G11" i="24" s="1"/>
  <c r="E10" i="24"/>
  <c r="F10" i="24" s="1"/>
  <c r="H10" i="24" s="1"/>
  <c r="E9" i="24"/>
  <c r="G9" i="24" s="1"/>
  <c r="E8" i="24"/>
  <c r="F8" i="24" s="1"/>
  <c r="H8" i="24" s="1"/>
  <c r="E7" i="24"/>
  <c r="F7" i="24" s="1"/>
  <c r="H7" i="24" s="1"/>
  <c r="E6" i="24"/>
  <c r="F6" i="24" s="1"/>
  <c r="H6" i="24" s="1"/>
  <c r="E5" i="24"/>
  <c r="Z25" i="23"/>
  <c r="P25" i="23"/>
  <c r="M25" i="23"/>
  <c r="L25" i="23"/>
  <c r="K25" i="23"/>
  <c r="J25" i="23"/>
  <c r="I25" i="23"/>
  <c r="AD24" i="23"/>
  <c r="E24" i="23"/>
  <c r="G24" i="23" s="1"/>
  <c r="AD23" i="23"/>
  <c r="E23" i="23"/>
  <c r="G23" i="23" s="1"/>
  <c r="R22" i="23"/>
  <c r="N22" i="23"/>
  <c r="E22" i="23"/>
  <c r="G22" i="23" s="1"/>
  <c r="W21" i="23"/>
  <c r="R21" i="23"/>
  <c r="N21" i="23"/>
  <c r="E21" i="23"/>
  <c r="G21" i="23" s="1"/>
  <c r="AC20" i="23"/>
  <c r="AC25" i="23" s="1"/>
  <c r="AB20" i="23"/>
  <c r="W20" i="23"/>
  <c r="R20" i="23"/>
  <c r="N20" i="23"/>
  <c r="E20" i="23"/>
  <c r="G20" i="23" s="1"/>
  <c r="W19" i="23"/>
  <c r="R19" i="23"/>
  <c r="N19" i="23"/>
  <c r="E19" i="23"/>
  <c r="G19" i="23" s="1"/>
  <c r="W18" i="23"/>
  <c r="R18" i="23"/>
  <c r="N18" i="23"/>
  <c r="E18" i="23"/>
  <c r="G18" i="23" s="1"/>
  <c r="R17" i="23"/>
  <c r="N17" i="23"/>
  <c r="E17" i="23"/>
  <c r="G17" i="23" s="1"/>
  <c r="W16" i="23"/>
  <c r="R16" i="23"/>
  <c r="N16" i="23"/>
  <c r="E16" i="23"/>
  <c r="F16" i="23" s="1"/>
  <c r="AA15" i="23"/>
  <c r="AA25" i="23" s="1"/>
  <c r="R15" i="23"/>
  <c r="O15" i="23"/>
  <c r="N15" i="23"/>
  <c r="E15" i="23"/>
  <c r="G15" i="23" s="1"/>
  <c r="R14" i="23"/>
  <c r="N14" i="23"/>
  <c r="E14" i="23"/>
  <c r="G14" i="23" s="1"/>
  <c r="R13" i="23"/>
  <c r="O13" i="23"/>
  <c r="N13" i="23"/>
  <c r="E13" i="23"/>
  <c r="F13" i="23" s="1"/>
  <c r="AB12" i="23"/>
  <c r="AB25" i="23" s="1"/>
  <c r="W12" i="23"/>
  <c r="R12" i="23"/>
  <c r="O12" i="23"/>
  <c r="N12" i="23"/>
  <c r="E12" i="23"/>
  <c r="G12" i="23" s="1"/>
  <c r="R11" i="23"/>
  <c r="E11" i="23"/>
  <c r="G11" i="23" s="1"/>
  <c r="E10" i="23"/>
  <c r="G10" i="23" s="1"/>
  <c r="E9" i="23"/>
  <c r="G9" i="23" s="1"/>
  <c r="E8" i="23"/>
  <c r="G8" i="23" s="1"/>
  <c r="E7" i="23"/>
  <c r="G7" i="23" s="1"/>
  <c r="E6" i="23"/>
  <c r="G6" i="23" s="1"/>
  <c r="Y6" i="23" s="1"/>
  <c r="AD6" i="23" s="1"/>
  <c r="E5" i="23"/>
  <c r="G5" i="23" s="1"/>
  <c r="Y5" i="23" s="1"/>
  <c r="AD5" i="23" s="1"/>
  <c r="E4" i="23"/>
  <c r="Q26" i="26"/>
  <c r="P26" i="26"/>
  <c r="L26" i="26"/>
  <c r="J26" i="26"/>
  <c r="O25" i="26"/>
  <c r="R25" i="26" s="1"/>
  <c r="M25" i="26"/>
  <c r="E25" i="26"/>
  <c r="G25" i="26" s="1"/>
  <c r="H25" i="26" s="1"/>
  <c r="O24" i="26"/>
  <c r="R24" i="26" s="1"/>
  <c r="M24" i="26"/>
  <c r="E24" i="26"/>
  <c r="G24" i="26" s="1"/>
  <c r="H24" i="26" s="1"/>
  <c r="O23" i="26"/>
  <c r="R23" i="26" s="1"/>
  <c r="M23" i="26"/>
  <c r="E23" i="26"/>
  <c r="G23" i="26" s="1"/>
  <c r="H23" i="26" s="1"/>
  <c r="O22" i="26"/>
  <c r="R22" i="26" s="1"/>
  <c r="M22" i="26"/>
  <c r="E22" i="26"/>
  <c r="G22" i="26" s="1"/>
  <c r="H22" i="26" s="1"/>
  <c r="O21" i="26"/>
  <c r="R21" i="26" s="1"/>
  <c r="M21" i="26"/>
  <c r="E21" i="26"/>
  <c r="G21" i="26" s="1"/>
  <c r="H21" i="26" s="1"/>
  <c r="O20" i="26"/>
  <c r="R20" i="26" s="1"/>
  <c r="M20" i="26"/>
  <c r="E20" i="26"/>
  <c r="G20" i="26" s="1"/>
  <c r="H20" i="26" s="1"/>
  <c r="O19" i="26"/>
  <c r="R19" i="26" s="1"/>
  <c r="M19" i="26"/>
  <c r="E19" i="26"/>
  <c r="G19" i="26" s="1"/>
  <c r="H19" i="26" s="1"/>
  <c r="O18" i="26"/>
  <c r="R18" i="26" s="1"/>
  <c r="M18" i="26"/>
  <c r="E18" i="26"/>
  <c r="G18" i="26" s="1"/>
  <c r="H18" i="26" s="1"/>
  <c r="O17" i="26"/>
  <c r="R17" i="26" s="1"/>
  <c r="M17" i="26"/>
  <c r="E17" i="26"/>
  <c r="G17" i="26" s="1"/>
  <c r="H17" i="26" s="1"/>
  <c r="O16" i="26"/>
  <c r="R16" i="26" s="1"/>
  <c r="M16" i="26"/>
  <c r="E16" i="26"/>
  <c r="G16" i="26" s="1"/>
  <c r="H16" i="26" s="1"/>
  <c r="O15" i="26"/>
  <c r="R15" i="26" s="1"/>
  <c r="M15" i="26"/>
  <c r="E15" i="26"/>
  <c r="G15" i="26" s="1"/>
  <c r="H15" i="26" s="1"/>
  <c r="O14" i="26"/>
  <c r="R14" i="26" s="1"/>
  <c r="M14" i="26"/>
  <c r="E14" i="26"/>
  <c r="G14" i="26" s="1"/>
  <c r="H14" i="26" s="1"/>
  <c r="O13" i="26"/>
  <c r="R13" i="26" s="1"/>
  <c r="M13" i="26"/>
  <c r="E13" i="26"/>
  <c r="G13" i="26" s="1"/>
  <c r="H13" i="26" s="1"/>
  <c r="O12" i="26"/>
  <c r="R12" i="26" s="1"/>
  <c r="M12" i="26"/>
  <c r="E12" i="26"/>
  <c r="G12" i="26" s="1"/>
  <c r="H12" i="26" s="1"/>
  <c r="O11" i="26"/>
  <c r="R11" i="26" s="1"/>
  <c r="M11" i="26"/>
  <c r="E11" i="26"/>
  <c r="G11" i="26" s="1"/>
  <c r="H11" i="26" s="1"/>
  <c r="O10" i="26"/>
  <c r="R10" i="26" s="1"/>
  <c r="M10" i="26"/>
  <c r="E10" i="26"/>
  <c r="F10" i="26" s="1"/>
  <c r="O9" i="26"/>
  <c r="R9" i="26" s="1"/>
  <c r="M9" i="26"/>
  <c r="E9" i="26"/>
  <c r="G9" i="26" s="1"/>
  <c r="H9" i="26" s="1"/>
  <c r="O8" i="26"/>
  <c r="R8" i="26" s="1"/>
  <c r="M8" i="26"/>
  <c r="E8" i="26"/>
  <c r="F8" i="26" s="1"/>
  <c r="O7" i="26"/>
  <c r="R7" i="26" s="1"/>
  <c r="M7" i="26"/>
  <c r="E7" i="26"/>
  <c r="G7" i="26" s="1"/>
  <c r="O6" i="26"/>
  <c r="R6" i="26" s="1"/>
  <c r="M6" i="26"/>
  <c r="E6" i="26"/>
  <c r="F6" i="26" s="1"/>
  <c r="O5" i="26"/>
  <c r="M5" i="26"/>
  <c r="E5" i="26"/>
  <c r="U25" i="25"/>
  <c r="V24" i="25"/>
  <c r="Q24" i="25"/>
  <c r="W24" i="25" s="1"/>
  <c r="E24" i="25"/>
  <c r="V23" i="25"/>
  <c r="Q23" i="25"/>
  <c r="E23" i="25"/>
  <c r="E22" i="25"/>
  <c r="H22" i="25" s="1"/>
  <c r="E21" i="25"/>
  <c r="E20" i="25"/>
  <c r="E19" i="25"/>
  <c r="E18" i="25"/>
  <c r="E17" i="25"/>
  <c r="E16" i="25"/>
  <c r="E15" i="25"/>
  <c r="E14" i="25"/>
  <c r="E13" i="25"/>
  <c r="E12" i="25"/>
  <c r="E11" i="25"/>
  <c r="T10" i="25"/>
  <c r="V10" i="25" s="1"/>
  <c r="Q10" i="25"/>
  <c r="E10" i="25"/>
  <c r="T9" i="25"/>
  <c r="V9" i="25" s="1"/>
  <c r="Q9" i="25"/>
  <c r="E9" i="25"/>
  <c r="T8" i="25"/>
  <c r="V8" i="25" s="1"/>
  <c r="Q8" i="25"/>
  <c r="E8" i="25"/>
  <c r="T7" i="25"/>
  <c r="V7" i="25" s="1"/>
  <c r="Q7" i="25"/>
  <c r="E7" i="25"/>
  <c r="V6" i="25"/>
  <c r="E6" i="25"/>
  <c r="V5" i="25"/>
  <c r="E5" i="25"/>
  <c r="F5" i="25" s="1"/>
  <c r="V4" i="25"/>
  <c r="E4" i="25"/>
  <c r="S25" i="22"/>
  <c r="M25" i="22"/>
  <c r="K25" i="22"/>
  <c r="J25" i="22"/>
  <c r="I25" i="22"/>
  <c r="H25" i="22"/>
  <c r="G25" i="22"/>
  <c r="F25" i="22"/>
  <c r="X24" i="22"/>
  <c r="E24" i="22"/>
  <c r="X23" i="22"/>
  <c r="E23" i="22"/>
  <c r="E22" i="22"/>
  <c r="P21" i="22"/>
  <c r="E21" i="22"/>
  <c r="P20" i="22"/>
  <c r="E20" i="22"/>
  <c r="P19" i="22"/>
  <c r="E19" i="22"/>
  <c r="P18" i="22"/>
  <c r="E18" i="22"/>
  <c r="E17" i="22"/>
  <c r="R17" i="22" s="1"/>
  <c r="P16" i="22"/>
  <c r="N16" i="22"/>
  <c r="E16" i="22"/>
  <c r="R16" i="22" s="1"/>
  <c r="T15" i="22"/>
  <c r="T25" i="22" s="1"/>
  <c r="L15" i="22"/>
  <c r="E15" i="22"/>
  <c r="Q15" i="22" s="1"/>
  <c r="E14" i="22"/>
  <c r="R14" i="22" s="1"/>
  <c r="E13" i="22"/>
  <c r="R13" i="22" s="1"/>
  <c r="P12" i="22"/>
  <c r="L12" i="22"/>
  <c r="L25" i="22" s="1"/>
  <c r="E12" i="22"/>
  <c r="R12" i="22" s="1"/>
  <c r="E11" i="22"/>
  <c r="E10" i="22"/>
  <c r="R10" i="22" s="1"/>
  <c r="X10" i="22" s="1"/>
  <c r="E9" i="22"/>
  <c r="E8" i="22"/>
  <c r="R8" i="22" s="1"/>
  <c r="X8" i="22" s="1"/>
  <c r="E7" i="22"/>
  <c r="E6" i="22"/>
  <c r="E5" i="22"/>
  <c r="E4" i="22"/>
  <c r="X24" i="21"/>
  <c r="V24" i="21"/>
  <c r="M24" i="21"/>
  <c r="J24" i="21"/>
  <c r="I24" i="21"/>
  <c r="H24" i="21"/>
  <c r="G24" i="21"/>
  <c r="F24" i="21"/>
  <c r="AA23" i="21"/>
  <c r="E23" i="21"/>
  <c r="AA22" i="21"/>
  <c r="E22" i="21"/>
  <c r="K21" i="21"/>
  <c r="E21" i="21"/>
  <c r="S20" i="21"/>
  <c r="K20" i="21"/>
  <c r="E20" i="21"/>
  <c r="S19" i="21"/>
  <c r="K19" i="21"/>
  <c r="E19" i="21"/>
  <c r="S18" i="21"/>
  <c r="K18" i="21"/>
  <c r="E18" i="21"/>
  <c r="S17" i="21"/>
  <c r="K17" i="21"/>
  <c r="E17" i="21"/>
  <c r="K16" i="21"/>
  <c r="E16" i="21"/>
  <c r="S15" i="21"/>
  <c r="K15" i="21"/>
  <c r="E15" i="21"/>
  <c r="P15" i="21" s="1"/>
  <c r="W14" i="21"/>
  <c r="W24" i="21" s="1"/>
  <c r="L14" i="21"/>
  <c r="K14" i="21"/>
  <c r="E14" i="21"/>
  <c r="K13" i="21"/>
  <c r="E13" i="21"/>
  <c r="K12" i="21"/>
  <c r="E12" i="21"/>
  <c r="S11" i="21"/>
  <c r="L11" i="21"/>
  <c r="K11" i="21"/>
  <c r="E11" i="21"/>
  <c r="E10" i="21"/>
  <c r="E9" i="21"/>
  <c r="E8" i="21"/>
  <c r="E7" i="21"/>
  <c r="E6" i="21"/>
  <c r="E5" i="21"/>
  <c r="U5" i="21" s="1"/>
  <c r="AA5" i="21" s="1"/>
  <c r="E4" i="21"/>
  <c r="U4" i="21" s="1"/>
  <c r="AA4" i="21" s="1"/>
  <c r="E3" i="21"/>
  <c r="Q3" i="21" s="1"/>
  <c r="W24" i="20"/>
  <c r="V24" i="20"/>
  <c r="U24" i="20"/>
  <c r="S24" i="20"/>
  <c r="M24" i="20"/>
  <c r="K24" i="20"/>
  <c r="J24" i="20"/>
  <c r="I24" i="20"/>
  <c r="H24" i="20"/>
  <c r="G24" i="20"/>
  <c r="F24" i="20"/>
  <c r="X23" i="20"/>
  <c r="E23" i="20"/>
  <c r="X22" i="20"/>
  <c r="E22" i="20"/>
  <c r="E21" i="20"/>
  <c r="Q21" i="20" s="1"/>
  <c r="P20" i="20"/>
  <c r="E20" i="20"/>
  <c r="Q20" i="20" s="1"/>
  <c r="P19" i="20"/>
  <c r="E19" i="20"/>
  <c r="Q19" i="20" s="1"/>
  <c r="P18" i="20"/>
  <c r="E18" i="20"/>
  <c r="Q18" i="20" s="1"/>
  <c r="P17" i="20"/>
  <c r="E17" i="20"/>
  <c r="Q17" i="20" s="1"/>
  <c r="E16" i="20"/>
  <c r="P15" i="20"/>
  <c r="E15" i="20"/>
  <c r="Q15" i="20" s="1"/>
  <c r="T14" i="20"/>
  <c r="T24" i="20" s="1"/>
  <c r="L14" i="20"/>
  <c r="E14" i="20"/>
  <c r="E13" i="20"/>
  <c r="E12" i="20"/>
  <c r="P11" i="20"/>
  <c r="L11" i="20"/>
  <c r="E11" i="20"/>
  <c r="Q11" i="20" s="1"/>
  <c r="E10" i="20"/>
  <c r="E9" i="20"/>
  <c r="E8" i="20"/>
  <c r="N8" i="20" s="1"/>
  <c r="E7" i="20"/>
  <c r="E6" i="20"/>
  <c r="N6" i="20" s="1"/>
  <c r="E5" i="20"/>
  <c r="E4" i="20"/>
  <c r="E3" i="20"/>
  <c r="N3" i="20" s="1"/>
  <c r="Y25" i="19"/>
  <c r="X25" i="19"/>
  <c r="W25" i="19"/>
  <c r="U25" i="19"/>
  <c r="M25" i="19"/>
  <c r="J25" i="19"/>
  <c r="I25" i="19"/>
  <c r="H25" i="19"/>
  <c r="G25" i="19"/>
  <c r="F25" i="19"/>
  <c r="Z24" i="19"/>
  <c r="E24" i="19"/>
  <c r="Z23" i="19"/>
  <c r="E23" i="19"/>
  <c r="P23" i="19" s="1"/>
  <c r="K22" i="19"/>
  <c r="E22" i="19"/>
  <c r="O22" i="19" s="1"/>
  <c r="R21" i="19"/>
  <c r="K21" i="19"/>
  <c r="E21" i="19"/>
  <c r="T21" i="19" s="1"/>
  <c r="R20" i="19"/>
  <c r="K20" i="19"/>
  <c r="E20" i="19"/>
  <c r="T20" i="19" s="1"/>
  <c r="R19" i="19"/>
  <c r="K19" i="19"/>
  <c r="E19" i="19"/>
  <c r="T19" i="19" s="1"/>
  <c r="R18" i="19"/>
  <c r="K18" i="19"/>
  <c r="E18" i="19"/>
  <c r="T18" i="19" s="1"/>
  <c r="K17" i="19"/>
  <c r="E17" i="19"/>
  <c r="R16" i="19"/>
  <c r="K16" i="19"/>
  <c r="E16" i="19"/>
  <c r="T16" i="19" s="1"/>
  <c r="V15" i="19"/>
  <c r="V25" i="19" s="1"/>
  <c r="L15" i="19"/>
  <c r="K15" i="19"/>
  <c r="E15" i="19"/>
  <c r="N15" i="19" s="1"/>
  <c r="K14" i="19"/>
  <c r="E14" i="19"/>
  <c r="Q14" i="19" s="1"/>
  <c r="K13" i="19"/>
  <c r="E13" i="19"/>
  <c r="T13" i="19" s="1"/>
  <c r="R12" i="19"/>
  <c r="R25" i="19" s="1"/>
  <c r="L12" i="19"/>
  <c r="L25" i="19" s="1"/>
  <c r="K12" i="19"/>
  <c r="E12" i="19"/>
  <c r="E11" i="19"/>
  <c r="N11" i="19" s="1"/>
  <c r="E10" i="19"/>
  <c r="T10" i="19" s="1"/>
  <c r="Z10" i="19" s="1"/>
  <c r="E9" i="19"/>
  <c r="T9" i="19" s="1"/>
  <c r="Z9" i="19" s="1"/>
  <c r="E8" i="19"/>
  <c r="T8" i="19" s="1"/>
  <c r="Z8" i="19" s="1"/>
  <c r="E7" i="19"/>
  <c r="T7" i="19" s="1"/>
  <c r="Z7" i="19" s="1"/>
  <c r="E6" i="19"/>
  <c r="E5" i="19"/>
  <c r="T5" i="19" s="1"/>
  <c r="Z5" i="19" s="1"/>
  <c r="E4" i="19"/>
  <c r="W25" i="18"/>
  <c r="V25" i="18"/>
  <c r="T25" i="18"/>
  <c r="M25" i="18"/>
  <c r="K25" i="18"/>
  <c r="J25" i="18"/>
  <c r="I25" i="18"/>
  <c r="H25" i="18"/>
  <c r="G25" i="18"/>
  <c r="F25" i="18"/>
  <c r="X24" i="18"/>
  <c r="E24" i="18"/>
  <c r="O24" i="18" s="1"/>
  <c r="X23" i="18"/>
  <c r="E23" i="18"/>
  <c r="E22" i="18"/>
  <c r="S22" i="18" s="1"/>
  <c r="Q21" i="18"/>
  <c r="E21" i="18"/>
  <c r="S21" i="18" s="1"/>
  <c r="Q20" i="18"/>
  <c r="E20" i="18"/>
  <c r="S20" i="18" s="1"/>
  <c r="Q19" i="18"/>
  <c r="E19" i="18"/>
  <c r="S19" i="18" s="1"/>
  <c r="Q18" i="18"/>
  <c r="E18" i="18"/>
  <c r="S18" i="18" s="1"/>
  <c r="E17" i="18"/>
  <c r="S17" i="18" s="1"/>
  <c r="Q16" i="18"/>
  <c r="E16" i="18"/>
  <c r="U15" i="18"/>
  <c r="U25" i="18" s="1"/>
  <c r="L15" i="18"/>
  <c r="E15" i="18"/>
  <c r="E14" i="18"/>
  <c r="N14" i="18" s="1"/>
  <c r="E13" i="18"/>
  <c r="Q12" i="18"/>
  <c r="L12" i="18"/>
  <c r="E12" i="18"/>
  <c r="S12" i="18" s="1"/>
  <c r="E11" i="18"/>
  <c r="E10" i="18"/>
  <c r="S10" i="18" s="1"/>
  <c r="X10" i="18" s="1"/>
  <c r="E9" i="18"/>
  <c r="E8" i="18"/>
  <c r="S8" i="18" s="1"/>
  <c r="X8" i="18" s="1"/>
  <c r="E7" i="18"/>
  <c r="E6" i="18"/>
  <c r="S6" i="18" s="1"/>
  <c r="X6" i="18" s="1"/>
  <c r="E5" i="18"/>
  <c r="E4" i="18"/>
  <c r="Y25" i="17"/>
  <c r="X25" i="17"/>
  <c r="W25" i="17"/>
  <c r="U25" i="17"/>
  <c r="M25" i="17"/>
  <c r="J25" i="17"/>
  <c r="I25" i="17"/>
  <c r="H25" i="17"/>
  <c r="G25" i="17"/>
  <c r="F25" i="17"/>
  <c r="Z24" i="17"/>
  <c r="E24" i="17"/>
  <c r="P24" i="17" s="1"/>
  <c r="Z23" i="17"/>
  <c r="E23" i="17"/>
  <c r="K22" i="17"/>
  <c r="E22" i="17"/>
  <c r="T22" i="17" s="1"/>
  <c r="R21" i="17"/>
  <c r="K21" i="17"/>
  <c r="E21" i="17"/>
  <c r="T21" i="17" s="1"/>
  <c r="R20" i="17"/>
  <c r="K20" i="17"/>
  <c r="E20" i="17"/>
  <c r="R19" i="17"/>
  <c r="K19" i="17"/>
  <c r="E19" i="17"/>
  <c r="R18" i="17"/>
  <c r="K18" i="17"/>
  <c r="E18" i="17"/>
  <c r="K17" i="17"/>
  <c r="E17" i="17"/>
  <c r="R16" i="17"/>
  <c r="K16" i="17"/>
  <c r="E16" i="17"/>
  <c r="T16" i="17" s="1"/>
  <c r="V15" i="17"/>
  <c r="V25" i="17" s="1"/>
  <c r="L15" i="17"/>
  <c r="K15" i="17"/>
  <c r="E15" i="17"/>
  <c r="S15" i="17" s="1"/>
  <c r="K14" i="17"/>
  <c r="E14" i="17"/>
  <c r="K13" i="17"/>
  <c r="E13" i="17"/>
  <c r="R12" i="17"/>
  <c r="L12" i="17"/>
  <c r="K12" i="17"/>
  <c r="E12" i="17"/>
  <c r="E11" i="17"/>
  <c r="T11" i="17" s="1"/>
  <c r="E10" i="17"/>
  <c r="E9" i="17"/>
  <c r="E8" i="17"/>
  <c r="E7" i="17"/>
  <c r="E6" i="17"/>
  <c r="T6" i="17" s="1"/>
  <c r="Z6" i="17" s="1"/>
  <c r="E5" i="17"/>
  <c r="E4" i="17"/>
  <c r="P4" i="17" s="1"/>
  <c r="Y25" i="16"/>
  <c r="X25" i="16"/>
  <c r="W25" i="16"/>
  <c r="T25" i="16"/>
  <c r="N25" i="16"/>
  <c r="M25" i="16"/>
  <c r="K25" i="16"/>
  <c r="J25" i="16"/>
  <c r="I25" i="16"/>
  <c r="H25" i="16"/>
  <c r="G25" i="16"/>
  <c r="F25" i="16"/>
  <c r="Z24" i="16"/>
  <c r="E24" i="16"/>
  <c r="Z23" i="16"/>
  <c r="E23" i="16"/>
  <c r="O23" i="16" s="1"/>
  <c r="E22" i="16"/>
  <c r="Q21" i="16"/>
  <c r="E21" i="16"/>
  <c r="Q20" i="16"/>
  <c r="E20" i="16"/>
  <c r="Q19" i="16"/>
  <c r="E19" i="16"/>
  <c r="Q18" i="16"/>
  <c r="E18" i="16"/>
  <c r="E17" i="16"/>
  <c r="S17" i="16" s="1"/>
  <c r="Q16" i="16"/>
  <c r="E16" i="16"/>
  <c r="V15" i="16"/>
  <c r="V25" i="16" s="1"/>
  <c r="U15" i="16"/>
  <c r="U25" i="16" s="1"/>
  <c r="L15" i="16"/>
  <c r="E15" i="16"/>
  <c r="E14" i="16"/>
  <c r="S14" i="16" s="1"/>
  <c r="E13" i="16"/>
  <c r="S13" i="16" s="1"/>
  <c r="Q12" i="16"/>
  <c r="L12" i="16"/>
  <c r="E12" i="16"/>
  <c r="S12" i="16" s="1"/>
  <c r="E11" i="16"/>
  <c r="O11" i="16" s="1"/>
  <c r="E10" i="16"/>
  <c r="S10" i="16" s="1"/>
  <c r="Z10" i="16" s="1"/>
  <c r="E9" i="16"/>
  <c r="S9" i="16" s="1"/>
  <c r="Z9" i="16" s="1"/>
  <c r="E8" i="16"/>
  <c r="S8" i="16" s="1"/>
  <c r="Z8" i="16" s="1"/>
  <c r="E7" i="16"/>
  <c r="S7" i="16" s="1"/>
  <c r="Z7" i="16" s="1"/>
  <c r="E6" i="16"/>
  <c r="S6" i="16" s="1"/>
  <c r="Z6" i="16" s="1"/>
  <c r="E5" i="16"/>
  <c r="S5" i="16" s="1"/>
  <c r="Z5" i="16" s="1"/>
  <c r="E4" i="16"/>
  <c r="O4" i="16" s="1"/>
  <c r="Z25" i="15"/>
  <c r="Y25" i="15"/>
  <c r="U25" i="15"/>
  <c r="M25" i="15"/>
  <c r="J25" i="15"/>
  <c r="I25" i="15"/>
  <c r="H25" i="15"/>
  <c r="G25" i="15"/>
  <c r="F25" i="15"/>
  <c r="AA24" i="15"/>
  <c r="E24" i="15"/>
  <c r="P24" i="15" s="1"/>
  <c r="AA23" i="15"/>
  <c r="E23" i="15"/>
  <c r="K22" i="15"/>
  <c r="E22" i="15"/>
  <c r="R21" i="15"/>
  <c r="K21" i="15"/>
  <c r="E21" i="15"/>
  <c r="R20" i="15"/>
  <c r="K20" i="15"/>
  <c r="E20" i="15"/>
  <c r="R19" i="15"/>
  <c r="K19" i="15"/>
  <c r="E19" i="15"/>
  <c r="R18" i="15"/>
  <c r="K18" i="15"/>
  <c r="E18" i="15"/>
  <c r="K17" i="15"/>
  <c r="E17" i="15"/>
  <c r="R16" i="15"/>
  <c r="K16" i="15"/>
  <c r="E16" i="15"/>
  <c r="W15" i="15"/>
  <c r="W25" i="15" s="1"/>
  <c r="V15" i="15"/>
  <c r="V25" i="15" s="1"/>
  <c r="L15" i="15"/>
  <c r="K15" i="15"/>
  <c r="E15" i="15"/>
  <c r="K14" i="15"/>
  <c r="E14" i="15"/>
  <c r="K13" i="15"/>
  <c r="E13" i="15"/>
  <c r="R12" i="15"/>
  <c r="L12" i="15"/>
  <c r="K12" i="15"/>
  <c r="E12" i="15"/>
  <c r="O11" i="15"/>
  <c r="O25" i="15" s="1"/>
  <c r="E11" i="15"/>
  <c r="X10" i="15"/>
  <c r="X25" i="15" s="1"/>
  <c r="E10" i="15"/>
  <c r="E9" i="15"/>
  <c r="E8" i="15"/>
  <c r="T8" i="15" s="1"/>
  <c r="AA8" i="15" s="1"/>
  <c r="E7" i="15"/>
  <c r="E6" i="15"/>
  <c r="T6" i="15" s="1"/>
  <c r="AA6" i="15" s="1"/>
  <c r="E5" i="15"/>
  <c r="T5" i="15" s="1"/>
  <c r="AA5" i="15" s="1"/>
  <c r="E4" i="15"/>
  <c r="P4" i="15" s="1"/>
  <c r="AA23" i="16" l="1"/>
  <c r="E25" i="19"/>
  <c r="AA23" i="19"/>
  <c r="S24" i="21"/>
  <c r="Z26" i="24"/>
  <c r="F14" i="24"/>
  <c r="F16" i="24"/>
  <c r="F22" i="24"/>
  <c r="E26" i="24"/>
  <c r="F13" i="24"/>
  <c r="U26" i="24"/>
  <c r="F9" i="24"/>
  <c r="H9" i="24" s="1"/>
  <c r="F23" i="24"/>
  <c r="F12" i="24"/>
  <c r="O26" i="24"/>
  <c r="F19" i="24"/>
  <c r="F20" i="24"/>
  <c r="F24" i="24"/>
  <c r="H24" i="24" s="1"/>
  <c r="F25" i="24"/>
  <c r="H25" i="24" s="1"/>
  <c r="N25" i="23"/>
  <c r="F14" i="23"/>
  <c r="F6" i="23"/>
  <c r="H6" i="23" s="1"/>
  <c r="R25" i="23"/>
  <c r="O25" i="23"/>
  <c r="W25" i="23"/>
  <c r="F19" i="23"/>
  <c r="F8" i="23"/>
  <c r="H8" i="23" s="1"/>
  <c r="F9" i="23"/>
  <c r="H9" i="23" s="1"/>
  <c r="F10" i="23"/>
  <c r="H10" i="23" s="1"/>
  <c r="F11" i="23"/>
  <c r="F12" i="23"/>
  <c r="E25" i="23"/>
  <c r="F5" i="23"/>
  <c r="H5" i="23" s="1"/>
  <c r="F7" i="23"/>
  <c r="H7" i="23" s="1"/>
  <c r="F21" i="23"/>
  <c r="F23" i="23"/>
  <c r="H23" i="23" s="1"/>
  <c r="F24" i="23"/>
  <c r="H24" i="23" s="1"/>
  <c r="M26" i="26"/>
  <c r="F24" i="26"/>
  <c r="K24" i="26" s="1"/>
  <c r="E26" i="26"/>
  <c r="O26" i="26"/>
  <c r="F13" i="26"/>
  <c r="F20" i="26"/>
  <c r="F7" i="26"/>
  <c r="I7" i="26" s="1"/>
  <c r="F9" i="26"/>
  <c r="I9" i="26" s="1"/>
  <c r="F11" i="26"/>
  <c r="I11" i="26" s="1"/>
  <c r="F12" i="26"/>
  <c r="F14" i="26"/>
  <c r="F21" i="26"/>
  <c r="F23" i="26"/>
  <c r="R5" i="26"/>
  <c r="E25" i="25"/>
  <c r="F6" i="25"/>
  <c r="W8" i="25"/>
  <c r="W10" i="25"/>
  <c r="F22" i="25"/>
  <c r="G22" i="25" s="1"/>
  <c r="F21" i="25"/>
  <c r="G21" i="25" s="1"/>
  <c r="T21" i="25" s="1"/>
  <c r="W23" i="25"/>
  <c r="F24" i="25"/>
  <c r="E25" i="22"/>
  <c r="P25" i="22"/>
  <c r="N19" i="22"/>
  <c r="R15" i="22"/>
  <c r="R19" i="22"/>
  <c r="N21" i="22"/>
  <c r="N13" i="22"/>
  <c r="Q14" i="22"/>
  <c r="R21" i="22"/>
  <c r="O12" i="22"/>
  <c r="Q12" i="22"/>
  <c r="Q13" i="22"/>
  <c r="N14" i="22"/>
  <c r="O15" i="22"/>
  <c r="N23" i="22"/>
  <c r="Y23" i="22" s="1"/>
  <c r="K24" i="21"/>
  <c r="L24" i="21"/>
  <c r="N14" i="21"/>
  <c r="T13" i="21"/>
  <c r="R14" i="21"/>
  <c r="E24" i="21"/>
  <c r="O13" i="21"/>
  <c r="P14" i="21"/>
  <c r="U14" i="21"/>
  <c r="N7" i="20"/>
  <c r="P24" i="20"/>
  <c r="N15" i="20"/>
  <c r="R15" i="20"/>
  <c r="N16" i="20"/>
  <c r="Q12" i="20"/>
  <c r="N9" i="20"/>
  <c r="N12" i="20"/>
  <c r="Q16" i="20"/>
  <c r="P5" i="19"/>
  <c r="T11" i="19"/>
  <c r="O14" i="19"/>
  <c r="T14" i="19"/>
  <c r="S15" i="19"/>
  <c r="Q18" i="19"/>
  <c r="S18" i="19"/>
  <c r="Q19" i="19"/>
  <c r="S19" i="19"/>
  <c r="Q20" i="19"/>
  <c r="S20" i="19"/>
  <c r="Q21" i="19"/>
  <c r="Z21" i="19" s="1"/>
  <c r="S21" i="19"/>
  <c r="S22" i="19"/>
  <c r="N7" i="19"/>
  <c r="N8" i="19"/>
  <c r="N9" i="19"/>
  <c r="N10" i="19"/>
  <c r="S13" i="19"/>
  <c r="O18" i="19"/>
  <c r="O19" i="19"/>
  <c r="O20" i="19"/>
  <c r="O21" i="19"/>
  <c r="Q25" i="18"/>
  <c r="N18" i="18"/>
  <c r="N19" i="18"/>
  <c r="O19" i="18" s="1"/>
  <c r="N20" i="18"/>
  <c r="N21" i="18"/>
  <c r="N22" i="18"/>
  <c r="S14" i="18"/>
  <c r="S5" i="18"/>
  <c r="X5" i="18" s="1"/>
  <c r="S7" i="18"/>
  <c r="X7" i="18" s="1"/>
  <c r="S9" i="18"/>
  <c r="X9" i="18" s="1"/>
  <c r="R11" i="18"/>
  <c r="E25" i="18"/>
  <c r="N5" i="18"/>
  <c r="N7" i="18"/>
  <c r="N9" i="18"/>
  <c r="N11" i="18"/>
  <c r="P14" i="18"/>
  <c r="R15" i="18"/>
  <c r="P18" i="18"/>
  <c r="X18" i="18" s="1"/>
  <c r="R18" i="18"/>
  <c r="P19" i="18"/>
  <c r="R19" i="18"/>
  <c r="P20" i="18"/>
  <c r="R20" i="18"/>
  <c r="P21" i="18"/>
  <c r="R21" i="18"/>
  <c r="R22" i="18"/>
  <c r="X22" i="18" s="1"/>
  <c r="O23" i="18"/>
  <c r="Y23" i="18" s="1"/>
  <c r="L25" i="17"/>
  <c r="Q17" i="17"/>
  <c r="Q13" i="17"/>
  <c r="Q12" i="17"/>
  <c r="S12" i="17"/>
  <c r="O16" i="17"/>
  <c r="O22" i="17"/>
  <c r="P6" i="17"/>
  <c r="N12" i="17"/>
  <c r="R25" i="17"/>
  <c r="O13" i="17"/>
  <c r="T13" i="17"/>
  <c r="Q16" i="17"/>
  <c r="S16" i="17"/>
  <c r="O17" i="17"/>
  <c r="T17" i="17"/>
  <c r="S22" i="17"/>
  <c r="P23" i="17"/>
  <c r="AA23" i="17" s="1"/>
  <c r="O7" i="16"/>
  <c r="AA7" i="16" s="1"/>
  <c r="O5" i="16"/>
  <c r="AA5" i="16" s="1"/>
  <c r="O9" i="16"/>
  <c r="O6" i="16"/>
  <c r="O8" i="16"/>
  <c r="AA8" i="16" s="1"/>
  <c r="O10" i="16"/>
  <c r="L25" i="16"/>
  <c r="E25" i="16"/>
  <c r="S11" i="16"/>
  <c r="Q25" i="16"/>
  <c r="O16" i="16"/>
  <c r="S16" i="16"/>
  <c r="O19" i="16"/>
  <c r="S19" i="16"/>
  <c r="O21" i="16"/>
  <c r="S21" i="16"/>
  <c r="T21" i="15"/>
  <c r="P23" i="15"/>
  <c r="AB23" i="15" s="1"/>
  <c r="N11" i="15"/>
  <c r="P11" i="15" s="1"/>
  <c r="T11" i="15"/>
  <c r="T16" i="15"/>
  <c r="T7" i="15"/>
  <c r="AA7" i="15" s="1"/>
  <c r="T9" i="15"/>
  <c r="AA9" i="15" s="1"/>
  <c r="P5" i="15"/>
  <c r="AB5" i="15" s="1"/>
  <c r="P6" i="15"/>
  <c r="AB6" i="15" s="1"/>
  <c r="N7" i="15"/>
  <c r="N9" i="15"/>
  <c r="P9" i="15" s="1"/>
  <c r="AB9" i="15" s="1"/>
  <c r="K25" i="15"/>
  <c r="R25" i="15"/>
  <c r="T19" i="15"/>
  <c r="AB24" i="15"/>
  <c r="S9" i="24"/>
  <c r="W9" i="24"/>
  <c r="AB9" i="24" s="1"/>
  <c r="W13" i="24"/>
  <c r="S13" i="24"/>
  <c r="H13" i="24"/>
  <c r="V13" i="24"/>
  <c r="T13" i="24"/>
  <c r="W14" i="24"/>
  <c r="T14" i="24"/>
  <c r="H14" i="24"/>
  <c r="V14" i="24"/>
  <c r="S14" i="24"/>
  <c r="S11" i="24"/>
  <c r="W11" i="24"/>
  <c r="AB11" i="24" s="1"/>
  <c r="V12" i="24"/>
  <c r="H12" i="24"/>
  <c r="W12" i="24"/>
  <c r="S12" i="24"/>
  <c r="W15" i="24"/>
  <c r="T15" i="24"/>
  <c r="V15" i="24"/>
  <c r="S15" i="24"/>
  <c r="H15" i="24"/>
  <c r="G5" i="24"/>
  <c r="G6" i="24"/>
  <c r="G7" i="24"/>
  <c r="G8" i="24"/>
  <c r="G10" i="24"/>
  <c r="F11" i="24"/>
  <c r="H11" i="24" s="1"/>
  <c r="F15" i="24"/>
  <c r="V22" i="24"/>
  <c r="T22" i="24"/>
  <c r="W22" i="24"/>
  <c r="S22" i="24"/>
  <c r="H22" i="24"/>
  <c r="W23" i="24"/>
  <c r="S23" i="24"/>
  <c r="V23" i="24"/>
  <c r="AB23" i="24" s="1"/>
  <c r="H23" i="24"/>
  <c r="F5" i="24"/>
  <c r="Q26" i="24"/>
  <c r="W16" i="24"/>
  <c r="T16" i="24"/>
  <c r="V16" i="24"/>
  <c r="S16" i="24"/>
  <c r="H16" i="24"/>
  <c r="W19" i="24"/>
  <c r="S19" i="24"/>
  <c r="V19" i="24"/>
  <c r="T19" i="24"/>
  <c r="H19" i="24"/>
  <c r="V20" i="24"/>
  <c r="T20" i="24"/>
  <c r="W20" i="24"/>
  <c r="S20" i="24"/>
  <c r="H20" i="24"/>
  <c r="S24" i="24"/>
  <c r="AC24" i="24" s="1"/>
  <c r="S25" i="24"/>
  <c r="G17" i="24"/>
  <c r="G18" i="24"/>
  <c r="G21" i="24"/>
  <c r="F4" i="23"/>
  <c r="U5" i="23"/>
  <c r="AE5" i="23" s="1"/>
  <c r="U6" i="23"/>
  <c r="AE6" i="23" s="1"/>
  <c r="Y7" i="23"/>
  <c r="AD7" i="23" s="1"/>
  <c r="Q7" i="23"/>
  <c r="Y8" i="23"/>
  <c r="AD8" i="23" s="1"/>
  <c r="Q8" i="23"/>
  <c r="U8" i="23" s="1"/>
  <c r="AE8" i="23" s="1"/>
  <c r="Y9" i="23"/>
  <c r="AD9" i="23" s="1"/>
  <c r="Q9" i="23"/>
  <c r="U9" i="23" s="1"/>
  <c r="Y10" i="23"/>
  <c r="AD10" i="23" s="1"/>
  <c r="Q10" i="23"/>
  <c r="U10" i="23" s="1"/>
  <c r="Y11" i="23"/>
  <c r="Q11" i="23"/>
  <c r="X11" i="23"/>
  <c r="H11" i="23"/>
  <c r="Y12" i="23"/>
  <c r="Q12" i="23"/>
  <c r="X12" i="23"/>
  <c r="V12" i="23"/>
  <c r="H12" i="23"/>
  <c r="Y14" i="23"/>
  <c r="V14" i="23"/>
  <c r="X14" i="23"/>
  <c r="Q14" i="23"/>
  <c r="H14" i="23"/>
  <c r="S14" i="23" s="1"/>
  <c r="G4" i="23"/>
  <c r="S11" i="23"/>
  <c r="S12" i="23"/>
  <c r="T14" i="23"/>
  <c r="Y15" i="23"/>
  <c r="V15" i="23"/>
  <c r="X15" i="23"/>
  <c r="Q15" i="23"/>
  <c r="H15" i="23"/>
  <c r="T11" i="23"/>
  <c r="T12" i="23"/>
  <c r="G13" i="23"/>
  <c r="F15" i="23"/>
  <c r="Y19" i="23"/>
  <c r="Q19" i="23"/>
  <c r="H19" i="23"/>
  <c r="X19" i="23"/>
  <c r="V19" i="23"/>
  <c r="X20" i="23"/>
  <c r="V20" i="23"/>
  <c r="Y20" i="23"/>
  <c r="Q20" i="23"/>
  <c r="H20" i="23"/>
  <c r="Y17" i="23"/>
  <c r="V17" i="23"/>
  <c r="X17" i="23"/>
  <c r="Q17" i="23"/>
  <c r="H17" i="23"/>
  <c r="X18" i="23"/>
  <c r="V18" i="23"/>
  <c r="Y18" i="23"/>
  <c r="Q18" i="23"/>
  <c r="H18" i="23"/>
  <c r="S19" i="23"/>
  <c r="Y21" i="23"/>
  <c r="Q21" i="23"/>
  <c r="H21" i="23"/>
  <c r="X21" i="23"/>
  <c r="V21" i="23"/>
  <c r="X22" i="23"/>
  <c r="Y22" i="23"/>
  <c r="Q22" i="23"/>
  <c r="H22" i="23"/>
  <c r="U23" i="23"/>
  <c r="AE23" i="23" s="1"/>
  <c r="U24" i="23"/>
  <c r="AE24" i="23" s="1"/>
  <c r="G16" i="23"/>
  <c r="F17" i="23"/>
  <c r="F18" i="23"/>
  <c r="T19" i="23"/>
  <c r="F20" i="23"/>
  <c r="T21" i="23"/>
  <c r="F22" i="23"/>
  <c r="K6" i="26"/>
  <c r="H6" i="26"/>
  <c r="I6" i="26"/>
  <c r="N6" i="26" s="1"/>
  <c r="K8" i="26"/>
  <c r="I8" i="26"/>
  <c r="N8" i="26" s="1"/>
  <c r="K10" i="26"/>
  <c r="I10" i="26"/>
  <c r="K13" i="26"/>
  <c r="K12" i="26"/>
  <c r="K14" i="26"/>
  <c r="F5" i="26"/>
  <c r="R26" i="26"/>
  <c r="G6" i="26"/>
  <c r="H7" i="26"/>
  <c r="K7" i="26"/>
  <c r="N7" i="26" s="1"/>
  <c r="S7" i="26" s="1"/>
  <c r="G8" i="26"/>
  <c r="H8" i="26" s="1"/>
  <c r="K9" i="26"/>
  <c r="N9" i="26" s="1"/>
  <c r="S9" i="26" s="1"/>
  <c r="G10" i="26"/>
  <c r="H10" i="26" s="1"/>
  <c r="K11" i="26"/>
  <c r="N11" i="26" s="1"/>
  <c r="S11" i="26" s="1"/>
  <c r="I13" i="26"/>
  <c r="N13" i="26" s="1"/>
  <c r="S13" i="26" s="1"/>
  <c r="K15" i="26"/>
  <c r="K16" i="26"/>
  <c r="K18" i="26"/>
  <c r="K20" i="26"/>
  <c r="K22" i="26"/>
  <c r="I23" i="26"/>
  <c r="G5" i="26"/>
  <c r="G26" i="26" s="1"/>
  <c r="I12" i="26"/>
  <c r="I14" i="26"/>
  <c r="N14" i="26" s="1"/>
  <c r="S14" i="26" s="1"/>
  <c r="K17" i="26"/>
  <c r="K19" i="26"/>
  <c r="I20" i="26"/>
  <c r="K21" i="26"/>
  <c r="I21" i="26"/>
  <c r="K23" i="26"/>
  <c r="F15" i="26"/>
  <c r="I15" i="26" s="1"/>
  <c r="F16" i="26"/>
  <c r="I16" i="26" s="1"/>
  <c r="F17" i="26"/>
  <c r="I17" i="26" s="1"/>
  <c r="F18" i="26"/>
  <c r="I18" i="26" s="1"/>
  <c r="F19" i="26"/>
  <c r="I19" i="26" s="1"/>
  <c r="F22" i="26"/>
  <c r="I22" i="26" s="1"/>
  <c r="I24" i="26"/>
  <c r="N24" i="26" s="1"/>
  <c r="S24" i="26" s="1"/>
  <c r="F25" i="26"/>
  <c r="H4" i="25"/>
  <c r="H5" i="25"/>
  <c r="H13" i="25"/>
  <c r="F13" i="25"/>
  <c r="G13" i="25" s="1"/>
  <c r="F4" i="25"/>
  <c r="H6" i="25"/>
  <c r="F7" i="25"/>
  <c r="W7" i="25"/>
  <c r="F8" i="25"/>
  <c r="F9" i="25"/>
  <c r="W9" i="25"/>
  <c r="F10" i="25"/>
  <c r="F11" i="25"/>
  <c r="G11" i="25" s="1"/>
  <c r="H11" i="25"/>
  <c r="H12" i="25"/>
  <c r="F12" i="25"/>
  <c r="G12" i="25" s="1"/>
  <c r="S22" i="25"/>
  <c r="T22" i="25"/>
  <c r="F14" i="25"/>
  <c r="G14" i="25" s="1"/>
  <c r="H14" i="25"/>
  <c r="F15" i="25"/>
  <c r="G15" i="25" s="1"/>
  <c r="H15" i="25"/>
  <c r="F16" i="25"/>
  <c r="G16" i="25" s="1"/>
  <c r="H16" i="25"/>
  <c r="F17" i="25"/>
  <c r="G17" i="25" s="1"/>
  <c r="H17" i="25"/>
  <c r="F18" i="25"/>
  <c r="G18" i="25" s="1"/>
  <c r="H18" i="25"/>
  <c r="H19" i="25"/>
  <c r="F19" i="25"/>
  <c r="G19" i="25" s="1"/>
  <c r="R21" i="25"/>
  <c r="P22" i="25"/>
  <c r="N22" i="25"/>
  <c r="L22" i="25"/>
  <c r="J22" i="25"/>
  <c r="O22" i="25"/>
  <c r="M22" i="25"/>
  <c r="K22" i="25"/>
  <c r="I22" i="25"/>
  <c r="F23" i="25"/>
  <c r="F20" i="25"/>
  <c r="G20" i="25" s="1"/>
  <c r="H20" i="25"/>
  <c r="H21" i="25"/>
  <c r="R4" i="22"/>
  <c r="R5" i="22"/>
  <c r="X5" i="22" s="1"/>
  <c r="R6" i="22"/>
  <c r="X6" i="22" s="1"/>
  <c r="N7" i="22"/>
  <c r="N9" i="22"/>
  <c r="N4" i="22"/>
  <c r="N5" i="22"/>
  <c r="N6" i="22"/>
  <c r="R7" i="22"/>
  <c r="X7" i="22" s="1"/>
  <c r="N8" i="22"/>
  <c r="R9" i="22"/>
  <c r="X9" i="22" s="1"/>
  <c r="X15" i="22"/>
  <c r="N10" i="22"/>
  <c r="Y10" i="22" s="1"/>
  <c r="N11" i="22"/>
  <c r="R11" i="22"/>
  <c r="N12" i="22"/>
  <c r="O13" i="22"/>
  <c r="X13" i="22" s="1"/>
  <c r="Y13" i="22" s="1"/>
  <c r="O14" i="22"/>
  <c r="X14" i="22" s="1"/>
  <c r="Y14" i="22" s="1"/>
  <c r="N15" i="22"/>
  <c r="O16" i="22"/>
  <c r="Q16" i="22"/>
  <c r="N17" i="22"/>
  <c r="Q17" i="22"/>
  <c r="N18" i="22"/>
  <c r="R18" i="22"/>
  <c r="O19" i="22"/>
  <c r="Q19" i="22"/>
  <c r="N20" i="22"/>
  <c r="R20" i="22"/>
  <c r="O21" i="22"/>
  <c r="Q21" i="22"/>
  <c r="N22" i="22"/>
  <c r="R22" i="22"/>
  <c r="N24" i="22"/>
  <c r="Q11" i="22"/>
  <c r="O17" i="22"/>
  <c r="O18" i="22"/>
  <c r="Q18" i="22"/>
  <c r="O20" i="22"/>
  <c r="Q20" i="22"/>
  <c r="Q22" i="22"/>
  <c r="X22" i="22" s="1"/>
  <c r="U3" i="21"/>
  <c r="Q4" i="21"/>
  <c r="Q5" i="21"/>
  <c r="AB5" i="21" s="1"/>
  <c r="N6" i="21"/>
  <c r="P6" i="21"/>
  <c r="U6" i="21"/>
  <c r="AA6" i="21" s="1"/>
  <c r="N7" i="21"/>
  <c r="P7" i="21"/>
  <c r="U7" i="21"/>
  <c r="AA7" i="21" s="1"/>
  <c r="N8" i="21"/>
  <c r="P8" i="21"/>
  <c r="U8" i="21"/>
  <c r="AA8" i="21" s="1"/>
  <c r="N9" i="21"/>
  <c r="P9" i="21"/>
  <c r="U9" i="21"/>
  <c r="AA9" i="21" s="1"/>
  <c r="N10" i="21"/>
  <c r="P10" i="21"/>
  <c r="T10" i="21"/>
  <c r="O11" i="21"/>
  <c r="U11" i="21"/>
  <c r="O12" i="21"/>
  <c r="T12" i="21"/>
  <c r="N13" i="21"/>
  <c r="P13" i="21"/>
  <c r="Q13" i="21" s="1"/>
  <c r="R13" i="21"/>
  <c r="U13" i="21"/>
  <c r="O6" i="21"/>
  <c r="O7" i="21"/>
  <c r="Q7" i="21" s="1"/>
  <c r="O8" i="21"/>
  <c r="O9" i="21"/>
  <c r="Q9" i="21" s="1"/>
  <c r="AB9" i="21" s="1"/>
  <c r="O10" i="21"/>
  <c r="U10" i="21"/>
  <c r="N11" i="21"/>
  <c r="P11" i="21"/>
  <c r="R11" i="21"/>
  <c r="T11" i="21"/>
  <c r="N12" i="21"/>
  <c r="P12" i="21"/>
  <c r="R12" i="21"/>
  <c r="U12" i="21"/>
  <c r="U15" i="21"/>
  <c r="O15" i="21"/>
  <c r="N15" i="21"/>
  <c r="R15" i="21"/>
  <c r="T15" i="21"/>
  <c r="N16" i="21"/>
  <c r="P16" i="21"/>
  <c r="R16" i="21"/>
  <c r="U16" i="21"/>
  <c r="N17" i="21"/>
  <c r="P17" i="21"/>
  <c r="R17" i="21"/>
  <c r="T17" i="21"/>
  <c r="N18" i="21"/>
  <c r="P18" i="21"/>
  <c r="R18" i="21"/>
  <c r="T18" i="21"/>
  <c r="N19" i="21"/>
  <c r="P19" i="21"/>
  <c r="R19" i="21"/>
  <c r="T19" i="21"/>
  <c r="N20" i="21"/>
  <c r="P20" i="21"/>
  <c r="R20" i="21"/>
  <c r="T20" i="21"/>
  <c r="N21" i="21"/>
  <c r="P21" i="21"/>
  <c r="T21" i="21"/>
  <c r="O14" i="21"/>
  <c r="T14" i="21"/>
  <c r="AA14" i="21" s="1"/>
  <c r="O16" i="21"/>
  <c r="T16" i="21"/>
  <c r="O17" i="21"/>
  <c r="U17" i="21"/>
  <c r="O18" i="21"/>
  <c r="U18" i="21"/>
  <c r="O19" i="21"/>
  <c r="U19" i="21"/>
  <c r="O20" i="21"/>
  <c r="U20" i="21"/>
  <c r="O21" i="21"/>
  <c r="U21" i="21"/>
  <c r="Q22" i="21"/>
  <c r="AB22" i="21" s="1"/>
  <c r="Q23" i="21"/>
  <c r="R4" i="20"/>
  <c r="X4" i="20" s="1"/>
  <c r="R5" i="20"/>
  <c r="X5" i="20" s="1"/>
  <c r="R6" i="20"/>
  <c r="X6" i="20" s="1"/>
  <c r="Y6" i="20" s="1"/>
  <c r="R8" i="20"/>
  <c r="X8" i="20" s="1"/>
  <c r="Y8" i="20" s="1"/>
  <c r="Q10" i="20"/>
  <c r="N11" i="20"/>
  <c r="Q13" i="20"/>
  <c r="N13" i="20"/>
  <c r="R13" i="20"/>
  <c r="R14" i="20"/>
  <c r="O14" i="20"/>
  <c r="N14" i="20"/>
  <c r="E24" i="20"/>
  <c r="R3" i="20"/>
  <c r="N4" i="20"/>
  <c r="N5" i="20"/>
  <c r="Y5" i="20" s="1"/>
  <c r="R7" i="20"/>
  <c r="X7" i="20" s="1"/>
  <c r="Y7" i="20" s="1"/>
  <c r="R9" i="20"/>
  <c r="X9" i="20" s="1"/>
  <c r="N10" i="20"/>
  <c r="R10" i="20"/>
  <c r="L24" i="20"/>
  <c r="O11" i="20"/>
  <c r="R11" i="20"/>
  <c r="O13" i="20"/>
  <c r="Q14" i="20"/>
  <c r="O12" i="20"/>
  <c r="R12" i="20"/>
  <c r="O15" i="20"/>
  <c r="X15" i="20" s="1"/>
  <c r="Y15" i="20" s="1"/>
  <c r="O16" i="20"/>
  <c r="R16" i="20"/>
  <c r="N17" i="20"/>
  <c r="R17" i="20"/>
  <c r="N18" i="20"/>
  <c r="R18" i="20"/>
  <c r="N19" i="20"/>
  <c r="R19" i="20"/>
  <c r="N20" i="20"/>
  <c r="R20" i="20"/>
  <c r="N21" i="20"/>
  <c r="R21" i="20"/>
  <c r="X21" i="20" s="1"/>
  <c r="N22" i="20"/>
  <c r="Y22" i="20" s="1"/>
  <c r="N23" i="20"/>
  <c r="O17" i="20"/>
  <c r="X17" i="20" s="1"/>
  <c r="O18" i="20"/>
  <c r="X18" i="20" s="1"/>
  <c r="O19" i="20"/>
  <c r="X19" i="20" s="1"/>
  <c r="O20" i="20"/>
  <c r="X20" i="20" s="1"/>
  <c r="T4" i="19"/>
  <c r="T6" i="19"/>
  <c r="Z6" i="19" s="1"/>
  <c r="O12" i="19"/>
  <c r="Q12" i="19"/>
  <c r="S12" i="19"/>
  <c r="P4" i="19"/>
  <c r="AA5" i="19"/>
  <c r="P6" i="19"/>
  <c r="O7" i="19"/>
  <c r="O8" i="19"/>
  <c r="O9" i="19"/>
  <c r="P9" i="19" s="1"/>
  <c r="AA9" i="19" s="1"/>
  <c r="O10" i="19"/>
  <c r="O11" i="19"/>
  <c r="P11" i="19" s="1"/>
  <c r="S11" i="19"/>
  <c r="K25" i="19"/>
  <c r="N12" i="19"/>
  <c r="P12" i="19"/>
  <c r="T12" i="19"/>
  <c r="Z19" i="19"/>
  <c r="O13" i="19"/>
  <c r="P13" i="19" s="1"/>
  <c r="AA13" i="19" s="1"/>
  <c r="Q13" i="19"/>
  <c r="Z13" i="19" s="1"/>
  <c r="N14" i="19"/>
  <c r="S14" i="19"/>
  <c r="O15" i="19"/>
  <c r="P15" i="19" s="1"/>
  <c r="Q15" i="19"/>
  <c r="T15" i="19"/>
  <c r="O16" i="19"/>
  <c r="Q16" i="19"/>
  <c r="S16" i="19"/>
  <c r="O17" i="19"/>
  <c r="Q17" i="19"/>
  <c r="T17" i="19"/>
  <c r="N18" i="19"/>
  <c r="P18" i="19"/>
  <c r="N19" i="19"/>
  <c r="P19" i="19"/>
  <c r="AA19" i="19" s="1"/>
  <c r="N20" i="19"/>
  <c r="P20" i="19"/>
  <c r="N21" i="19"/>
  <c r="P21" i="19"/>
  <c r="N22" i="19"/>
  <c r="P22" i="19"/>
  <c r="T22" i="19"/>
  <c r="P24" i="19"/>
  <c r="N16" i="19"/>
  <c r="N17" i="19"/>
  <c r="S17" i="19"/>
  <c r="Y24" i="18"/>
  <c r="N4" i="18"/>
  <c r="S4" i="18"/>
  <c r="N6" i="18"/>
  <c r="O7" i="18"/>
  <c r="N8" i="18"/>
  <c r="N10" i="18"/>
  <c r="O11" i="18"/>
  <c r="S11" i="18"/>
  <c r="L25" i="18"/>
  <c r="S13" i="18"/>
  <c r="P13" i="18"/>
  <c r="N13" i="18"/>
  <c r="R13" i="18"/>
  <c r="X20" i="18"/>
  <c r="S16" i="18"/>
  <c r="R17" i="18"/>
  <c r="N12" i="18"/>
  <c r="P12" i="18"/>
  <c r="R12" i="18"/>
  <c r="O14" i="18"/>
  <c r="R14" i="18"/>
  <c r="X14" i="18" s="1"/>
  <c r="N15" i="18"/>
  <c r="P15" i="18"/>
  <c r="S15" i="18"/>
  <c r="N16" i="18"/>
  <c r="P16" i="18"/>
  <c r="R16" i="18"/>
  <c r="N17" i="18"/>
  <c r="P17" i="18"/>
  <c r="X17" i="18" s="1"/>
  <c r="O21" i="18"/>
  <c r="AA6" i="17"/>
  <c r="T5" i="17"/>
  <c r="Z5" i="17" s="1"/>
  <c r="O7" i="17"/>
  <c r="T7" i="17"/>
  <c r="Z7" i="17" s="1"/>
  <c r="O8" i="17"/>
  <c r="T8" i="17"/>
  <c r="Z8" i="17" s="1"/>
  <c r="O9" i="17"/>
  <c r="T9" i="17"/>
  <c r="Z9" i="17" s="1"/>
  <c r="O10" i="17"/>
  <c r="T10" i="17"/>
  <c r="Z10" i="17" s="1"/>
  <c r="O11" i="17"/>
  <c r="S11" i="17"/>
  <c r="K25" i="17"/>
  <c r="AA24" i="17"/>
  <c r="E25" i="17"/>
  <c r="T4" i="17"/>
  <c r="P5" i="17"/>
  <c r="N7" i="17"/>
  <c r="P7" i="17" s="1"/>
  <c r="AA7" i="17" s="1"/>
  <c r="N8" i="17"/>
  <c r="N9" i="17"/>
  <c r="N10" i="17"/>
  <c r="N11" i="17"/>
  <c r="T12" i="17"/>
  <c r="O12" i="17"/>
  <c r="T14" i="17"/>
  <c r="Q14" i="17"/>
  <c r="O14" i="17"/>
  <c r="N14" i="17"/>
  <c r="S14" i="17"/>
  <c r="Z22" i="17"/>
  <c r="O15" i="17"/>
  <c r="Q15" i="17"/>
  <c r="T15" i="17"/>
  <c r="N18" i="17"/>
  <c r="T18" i="17"/>
  <c r="N19" i="17"/>
  <c r="T19" i="17"/>
  <c r="N20" i="17"/>
  <c r="T20" i="17"/>
  <c r="O21" i="17"/>
  <c r="P21" i="17" s="1"/>
  <c r="Q21" i="17"/>
  <c r="S21" i="17"/>
  <c r="N13" i="17"/>
  <c r="P13" i="17"/>
  <c r="S13" i="17"/>
  <c r="N15" i="17"/>
  <c r="P15" i="17" s="1"/>
  <c r="N16" i="17"/>
  <c r="P16" i="17" s="1"/>
  <c r="N17" i="17"/>
  <c r="P17" i="17" s="1"/>
  <c r="S17" i="17"/>
  <c r="Z17" i="17" s="1"/>
  <c r="O18" i="17"/>
  <c r="Q18" i="17"/>
  <c r="S18" i="17"/>
  <c r="O19" i="17"/>
  <c r="Q19" i="17"/>
  <c r="S19" i="17"/>
  <c r="O20" i="17"/>
  <c r="Q20" i="17"/>
  <c r="S20" i="17"/>
  <c r="N22" i="17"/>
  <c r="P22" i="17" s="1"/>
  <c r="AA22" i="17" s="1"/>
  <c r="AA6" i="16"/>
  <c r="S4" i="16"/>
  <c r="AA9" i="16"/>
  <c r="R11" i="16"/>
  <c r="P12" i="16"/>
  <c r="R12" i="16"/>
  <c r="O13" i="16"/>
  <c r="R13" i="16"/>
  <c r="O14" i="16"/>
  <c r="R14" i="16"/>
  <c r="P15" i="16"/>
  <c r="S15" i="16"/>
  <c r="P16" i="16"/>
  <c r="R16" i="16"/>
  <c r="O17" i="16"/>
  <c r="R17" i="16"/>
  <c r="O18" i="16"/>
  <c r="S18" i="16"/>
  <c r="P19" i="16"/>
  <c r="R19" i="16"/>
  <c r="O20" i="16"/>
  <c r="S20" i="16"/>
  <c r="P21" i="16"/>
  <c r="R21" i="16"/>
  <c r="O22" i="16"/>
  <c r="S22" i="16"/>
  <c r="O24" i="16"/>
  <c r="O12" i="16"/>
  <c r="P13" i="16"/>
  <c r="P14" i="16"/>
  <c r="O15" i="16"/>
  <c r="R15" i="16"/>
  <c r="P17" i="16"/>
  <c r="P18" i="16"/>
  <c r="R18" i="16"/>
  <c r="P20" i="16"/>
  <c r="R20" i="16"/>
  <c r="R22" i="16"/>
  <c r="S12" i="15"/>
  <c r="Q12" i="15"/>
  <c r="N12" i="15"/>
  <c r="S13" i="15"/>
  <c r="N13" i="15"/>
  <c r="T13" i="15"/>
  <c r="S14" i="15"/>
  <c r="N14" i="15"/>
  <c r="T14" i="15"/>
  <c r="S17" i="15"/>
  <c r="N17" i="15"/>
  <c r="T17" i="15"/>
  <c r="T18" i="15"/>
  <c r="N18" i="15"/>
  <c r="P18" i="15" s="1"/>
  <c r="T20" i="15"/>
  <c r="N20" i="15"/>
  <c r="P20" i="15" s="1"/>
  <c r="T22" i="15"/>
  <c r="N22" i="15"/>
  <c r="P22" i="15" s="1"/>
  <c r="E25" i="15"/>
  <c r="T4" i="15"/>
  <c r="P7" i="15"/>
  <c r="AB7" i="15" s="1"/>
  <c r="N8" i="15"/>
  <c r="N10" i="15"/>
  <c r="T10" i="15"/>
  <c r="AA10" i="15" s="1"/>
  <c r="T12" i="15"/>
  <c r="Q13" i="15"/>
  <c r="Q14" i="15"/>
  <c r="AA14" i="15" s="1"/>
  <c r="T15" i="15"/>
  <c r="Q15" i="15"/>
  <c r="N15" i="15"/>
  <c r="P15" i="15" s="1"/>
  <c r="S15" i="15"/>
  <c r="Q17" i="15"/>
  <c r="Q18" i="15"/>
  <c r="S18" i="15"/>
  <c r="Q20" i="15"/>
  <c r="S20" i="15"/>
  <c r="S22" i="15"/>
  <c r="L25" i="15"/>
  <c r="S11" i="15"/>
  <c r="N16" i="15"/>
  <c r="Q16" i="15"/>
  <c r="S16" i="15"/>
  <c r="N19" i="15"/>
  <c r="Q19" i="15"/>
  <c r="S19" i="15"/>
  <c r="N21" i="15"/>
  <c r="Q21" i="15"/>
  <c r="S21" i="15"/>
  <c r="AA21" i="19" l="1"/>
  <c r="AA17" i="15"/>
  <c r="P19" i="17"/>
  <c r="Z13" i="17"/>
  <c r="X11" i="18"/>
  <c r="Y7" i="18"/>
  <c r="P17" i="19"/>
  <c r="Z22" i="19"/>
  <c r="Z14" i="19"/>
  <c r="P10" i="19"/>
  <c r="AA10" i="19" s="1"/>
  <c r="X13" i="20"/>
  <c r="Y9" i="20"/>
  <c r="AA12" i="21"/>
  <c r="Q11" i="21"/>
  <c r="Q10" i="21"/>
  <c r="Q8" i="21"/>
  <c r="AB8" i="21" s="1"/>
  <c r="X17" i="22"/>
  <c r="Y6" i="22"/>
  <c r="V22" i="25"/>
  <c r="N12" i="26"/>
  <c r="S12" i="26" s="1"/>
  <c r="AE10" i="23"/>
  <c r="AE9" i="23"/>
  <c r="Z16" i="17"/>
  <c r="X20" i="22"/>
  <c r="Y20" i="22" s="1"/>
  <c r="Q17" i="21"/>
  <c r="AD15" i="23"/>
  <c r="AB20" i="24"/>
  <c r="AC20" i="24" s="1"/>
  <c r="AB19" i="24"/>
  <c r="AC19" i="24" s="1"/>
  <c r="AB16" i="24"/>
  <c r="AC16" i="24" s="1"/>
  <c r="U12" i="23"/>
  <c r="U14" i="23"/>
  <c r="AD21" i="23"/>
  <c r="N19" i="26"/>
  <c r="S19" i="26" s="1"/>
  <c r="N21" i="26"/>
  <c r="S21" i="26" s="1"/>
  <c r="N17" i="26"/>
  <c r="S17" i="26" s="1"/>
  <c r="S21" i="25"/>
  <c r="Q16" i="21"/>
  <c r="X18" i="22"/>
  <c r="Y18" i="22" s="1"/>
  <c r="X12" i="22"/>
  <c r="Y17" i="22"/>
  <c r="X16" i="22"/>
  <c r="Y16" i="22" s="1"/>
  <c r="Q20" i="21"/>
  <c r="AA13" i="21"/>
  <c r="AB13" i="21" s="1"/>
  <c r="Q21" i="21"/>
  <c r="Q18" i="21"/>
  <c r="Q19" i="21"/>
  <c r="Y20" i="20"/>
  <c r="Y18" i="20"/>
  <c r="X12" i="20"/>
  <c r="Y12" i="20" s="1"/>
  <c r="Z15" i="19"/>
  <c r="N25" i="19"/>
  <c r="AA22" i="19"/>
  <c r="Z20" i="19"/>
  <c r="AA20" i="19" s="1"/>
  <c r="Z18" i="19"/>
  <c r="AA18" i="19" s="1"/>
  <c r="Z12" i="17"/>
  <c r="Z21" i="17"/>
  <c r="AA21" i="17" s="1"/>
  <c r="X21" i="18"/>
  <c r="X19" i="18"/>
  <c r="Y19" i="18" s="1"/>
  <c r="Y21" i="18"/>
  <c r="O22" i="18"/>
  <c r="Y22" i="18" s="1"/>
  <c r="O20" i="18"/>
  <c r="Y20" i="18" s="1"/>
  <c r="O18" i="18"/>
  <c r="Y18" i="18" s="1"/>
  <c r="O9" i="18"/>
  <c r="Y9" i="18" s="1"/>
  <c r="O5" i="18"/>
  <c r="X15" i="18"/>
  <c r="O15" i="18"/>
  <c r="R25" i="18"/>
  <c r="O10" i="18"/>
  <c r="Y10" i="18" s="1"/>
  <c r="O8" i="18"/>
  <c r="Y8" i="18" s="1"/>
  <c r="O6" i="18"/>
  <c r="Y6" i="18" s="1"/>
  <c r="AA16" i="17"/>
  <c r="P12" i="17"/>
  <c r="P11" i="17"/>
  <c r="P10" i="17"/>
  <c r="AA10" i="17" s="1"/>
  <c r="P9" i="17"/>
  <c r="AA9" i="17" s="1"/>
  <c r="P8" i="17"/>
  <c r="Z19" i="17"/>
  <c r="Q25" i="17"/>
  <c r="AA19" i="17"/>
  <c r="Z22" i="16"/>
  <c r="Z13" i="16"/>
  <c r="AA13" i="16" s="1"/>
  <c r="AA10" i="16"/>
  <c r="Z21" i="16"/>
  <c r="AA21" i="16" s="1"/>
  <c r="Z19" i="16"/>
  <c r="AA19" i="16" s="1"/>
  <c r="Z17" i="16"/>
  <c r="AA17" i="16" s="1"/>
  <c r="Z14" i="16"/>
  <c r="AA19" i="15"/>
  <c r="AA22" i="15"/>
  <c r="AA20" i="15"/>
  <c r="AA18" i="15"/>
  <c r="AB18" i="15" s="1"/>
  <c r="AB20" i="15"/>
  <c r="AA13" i="15"/>
  <c r="P12" i="15"/>
  <c r="P8" i="15"/>
  <c r="AB8" i="15" s="1"/>
  <c r="P17" i="15"/>
  <c r="P13" i="15"/>
  <c r="AB13" i="15" s="1"/>
  <c r="W18" i="24"/>
  <c r="T18" i="24"/>
  <c r="H18" i="24"/>
  <c r="V18" i="24"/>
  <c r="S18" i="24"/>
  <c r="W8" i="24"/>
  <c r="AB8" i="24" s="1"/>
  <c r="S8" i="24"/>
  <c r="W6" i="24"/>
  <c r="AB6" i="24" s="1"/>
  <c r="S6" i="24"/>
  <c r="G26" i="24"/>
  <c r="W5" i="24"/>
  <c r="S5" i="24"/>
  <c r="AB12" i="24"/>
  <c r="AC12" i="24" s="1"/>
  <c r="AC9" i="24"/>
  <c r="V21" i="24"/>
  <c r="T21" i="24"/>
  <c r="H21" i="24"/>
  <c r="W21" i="24"/>
  <c r="S21" i="24"/>
  <c r="V17" i="24"/>
  <c r="V26" i="24" s="1"/>
  <c r="T17" i="24"/>
  <c r="H17" i="24"/>
  <c r="W17" i="24"/>
  <c r="S17" i="24"/>
  <c r="AC25" i="24"/>
  <c r="F26" i="24"/>
  <c r="H5" i="24"/>
  <c r="AC23" i="24"/>
  <c r="AB22" i="24"/>
  <c r="AC22" i="24" s="1"/>
  <c r="W10" i="24"/>
  <c r="AB10" i="24" s="1"/>
  <c r="S10" i="24"/>
  <c r="W7" i="24"/>
  <c r="AB7" i="24" s="1"/>
  <c r="S7" i="24"/>
  <c r="AB15" i="24"/>
  <c r="AC15" i="24" s="1"/>
  <c r="AC11" i="24"/>
  <c r="AB14" i="24"/>
  <c r="AC14" i="24" s="1"/>
  <c r="AB13" i="24"/>
  <c r="AC13" i="24" s="1"/>
  <c r="T17" i="23"/>
  <c r="S17" i="23"/>
  <c r="AD22" i="23"/>
  <c r="AD18" i="23"/>
  <c r="AD17" i="23"/>
  <c r="AD20" i="23"/>
  <c r="AD19" i="23"/>
  <c r="Y13" i="23"/>
  <c r="V13" i="23"/>
  <c r="H13" i="23"/>
  <c r="X13" i="23"/>
  <c r="Q13" i="23"/>
  <c r="G25" i="23"/>
  <c r="U4" i="23"/>
  <c r="Y4" i="23"/>
  <c r="AD11" i="23"/>
  <c r="T22" i="23"/>
  <c r="S22" i="23"/>
  <c r="T20" i="23"/>
  <c r="S20" i="23"/>
  <c r="T18" i="23"/>
  <c r="S18" i="23"/>
  <c r="Y16" i="23"/>
  <c r="Q16" i="23"/>
  <c r="H16" i="23"/>
  <c r="X16" i="23"/>
  <c r="V16" i="23"/>
  <c r="V25" i="23" s="1"/>
  <c r="S21" i="23"/>
  <c r="U19" i="23"/>
  <c r="AE19" i="23" s="1"/>
  <c r="T15" i="23"/>
  <c r="S15" i="23"/>
  <c r="AD14" i="23"/>
  <c r="AE14" i="23" s="1"/>
  <c r="AD12" i="23"/>
  <c r="AE12" i="23" s="1"/>
  <c r="U11" i="23"/>
  <c r="AE11" i="23" s="1"/>
  <c r="Q25" i="23"/>
  <c r="U7" i="23"/>
  <c r="AE7" i="23" s="1"/>
  <c r="F25" i="23"/>
  <c r="H4" i="23"/>
  <c r="S8" i="26"/>
  <c r="I25" i="26"/>
  <c r="K25" i="26"/>
  <c r="N22" i="26"/>
  <c r="S22" i="26" s="1"/>
  <c r="N18" i="26"/>
  <c r="S18" i="26" s="1"/>
  <c r="N16" i="26"/>
  <c r="S16" i="26" s="1"/>
  <c r="N15" i="26"/>
  <c r="S15" i="26" s="1"/>
  <c r="N20" i="26"/>
  <c r="S20" i="26" s="1"/>
  <c r="N23" i="26"/>
  <c r="F26" i="26"/>
  <c r="I5" i="26"/>
  <c r="K5" i="26"/>
  <c r="H5" i="26"/>
  <c r="H26" i="26" s="1"/>
  <c r="N10" i="26"/>
  <c r="S6" i="26"/>
  <c r="P21" i="25"/>
  <c r="N21" i="25"/>
  <c r="L21" i="25"/>
  <c r="J21" i="25"/>
  <c r="O21" i="25"/>
  <c r="M21" i="25"/>
  <c r="K21" i="25"/>
  <c r="I21" i="25"/>
  <c r="T20" i="25"/>
  <c r="R20" i="25"/>
  <c r="S20" i="25"/>
  <c r="P19" i="25"/>
  <c r="N19" i="25"/>
  <c r="L19" i="25"/>
  <c r="J19" i="25"/>
  <c r="M19" i="25"/>
  <c r="I19" i="25"/>
  <c r="O19" i="25"/>
  <c r="K19" i="25"/>
  <c r="P18" i="25"/>
  <c r="N18" i="25"/>
  <c r="L18" i="25"/>
  <c r="J18" i="25"/>
  <c r="O18" i="25"/>
  <c r="M18" i="25"/>
  <c r="K18" i="25"/>
  <c r="I18" i="25"/>
  <c r="P17" i="25"/>
  <c r="N17" i="25"/>
  <c r="L17" i="25"/>
  <c r="J17" i="25"/>
  <c r="O17" i="25"/>
  <c r="M17" i="25"/>
  <c r="K17" i="25"/>
  <c r="I17" i="25"/>
  <c r="P16" i="25"/>
  <c r="N16" i="25"/>
  <c r="L16" i="25"/>
  <c r="J16" i="25"/>
  <c r="O16" i="25"/>
  <c r="M16" i="25"/>
  <c r="K16" i="25"/>
  <c r="I16" i="25"/>
  <c r="P15" i="25"/>
  <c r="N15" i="25"/>
  <c r="L15" i="25"/>
  <c r="J15" i="25"/>
  <c r="O15" i="25"/>
  <c r="M15" i="25"/>
  <c r="K15" i="25"/>
  <c r="I15" i="25"/>
  <c r="P14" i="25"/>
  <c r="N14" i="25"/>
  <c r="L14" i="25"/>
  <c r="J14" i="25"/>
  <c r="O14" i="25"/>
  <c r="M14" i="25"/>
  <c r="K14" i="25"/>
  <c r="I14" i="25"/>
  <c r="Q22" i="25"/>
  <c r="P12" i="25"/>
  <c r="N12" i="25"/>
  <c r="L12" i="25"/>
  <c r="J12" i="25"/>
  <c r="M12" i="25"/>
  <c r="I12" i="25"/>
  <c r="O12" i="25"/>
  <c r="K12" i="25"/>
  <c r="O11" i="25"/>
  <c r="M11" i="25"/>
  <c r="K11" i="25"/>
  <c r="N11" i="25"/>
  <c r="J11" i="25"/>
  <c r="P11" i="25"/>
  <c r="L11" i="25"/>
  <c r="I11" i="25"/>
  <c r="K6" i="25"/>
  <c r="J6" i="25"/>
  <c r="F25" i="25"/>
  <c r="P13" i="25"/>
  <c r="N13" i="25"/>
  <c r="L13" i="25"/>
  <c r="J13" i="25"/>
  <c r="O13" i="25"/>
  <c r="K13" i="25"/>
  <c r="M13" i="25"/>
  <c r="I13" i="25"/>
  <c r="J5" i="25"/>
  <c r="K5" i="25"/>
  <c r="P20" i="25"/>
  <c r="N20" i="25"/>
  <c r="L20" i="25"/>
  <c r="J20" i="25"/>
  <c r="O20" i="25"/>
  <c r="M20" i="25"/>
  <c r="K20" i="25"/>
  <c r="I20" i="25"/>
  <c r="V21" i="25"/>
  <c r="T19" i="25"/>
  <c r="R19" i="25"/>
  <c r="S19" i="25"/>
  <c r="T18" i="25"/>
  <c r="R18" i="25"/>
  <c r="S18" i="25"/>
  <c r="T17" i="25"/>
  <c r="R17" i="25"/>
  <c r="S17" i="25"/>
  <c r="T16" i="25"/>
  <c r="R16" i="25"/>
  <c r="S16" i="25"/>
  <c r="T15" i="25"/>
  <c r="R15" i="25"/>
  <c r="S15" i="25"/>
  <c r="T14" i="25"/>
  <c r="R14" i="25"/>
  <c r="S14" i="25"/>
  <c r="T12" i="25"/>
  <c r="R12" i="25"/>
  <c r="S12" i="25"/>
  <c r="G25" i="25"/>
  <c r="T11" i="25"/>
  <c r="S11" i="25"/>
  <c r="T13" i="25"/>
  <c r="R13" i="25"/>
  <c r="S13" i="25"/>
  <c r="H25" i="25"/>
  <c r="J4" i="25"/>
  <c r="K4" i="25"/>
  <c r="Q25" i="22"/>
  <c r="X11" i="22"/>
  <c r="N25" i="22"/>
  <c r="Y24" i="22"/>
  <c r="Y22" i="22"/>
  <c r="X21" i="22"/>
  <c r="Y21" i="22" s="1"/>
  <c r="X19" i="22"/>
  <c r="Y19" i="22" s="1"/>
  <c r="Y15" i="22"/>
  <c r="Y12" i="22"/>
  <c r="Y11" i="22"/>
  <c r="O25" i="22"/>
  <c r="Y8" i="22"/>
  <c r="Y5" i="22"/>
  <c r="Y9" i="22"/>
  <c r="Y7" i="22"/>
  <c r="R25" i="22"/>
  <c r="X4" i="22"/>
  <c r="AB7" i="21"/>
  <c r="AB23" i="21"/>
  <c r="AA21" i="21"/>
  <c r="AB21" i="21" s="1"/>
  <c r="AA19" i="21"/>
  <c r="AA17" i="21"/>
  <c r="AB17" i="21" s="1"/>
  <c r="Q15" i="21"/>
  <c r="O24" i="21"/>
  <c r="P24" i="21"/>
  <c r="U24" i="21"/>
  <c r="AA3" i="21"/>
  <c r="Q14" i="21"/>
  <c r="AB14" i="21" s="1"/>
  <c r="AA20" i="21"/>
  <c r="AA18" i="21"/>
  <c r="AB18" i="21" s="1"/>
  <c r="AA16" i="21"/>
  <c r="AB16" i="21" s="1"/>
  <c r="AA15" i="21"/>
  <c r="R24" i="21"/>
  <c r="AA11" i="21"/>
  <c r="AB11" i="21" s="1"/>
  <c r="Q6" i="21"/>
  <c r="Q12" i="21"/>
  <c r="AB12" i="21" s="1"/>
  <c r="T24" i="21"/>
  <c r="AA10" i="21"/>
  <c r="AB10" i="21" s="1"/>
  <c r="N24" i="21"/>
  <c r="AB4" i="21"/>
  <c r="O24" i="20"/>
  <c r="X11" i="20"/>
  <c r="Y11" i="20" s="1"/>
  <c r="Y4" i="20"/>
  <c r="R24" i="20"/>
  <c r="X3" i="20"/>
  <c r="Y13" i="20"/>
  <c r="N24" i="20"/>
  <c r="Y23" i="20"/>
  <c r="Y21" i="20"/>
  <c r="Y19" i="20"/>
  <c r="Y17" i="20"/>
  <c r="X16" i="20"/>
  <c r="Y16" i="20" s="1"/>
  <c r="X14" i="20"/>
  <c r="Y14" i="20" s="1"/>
  <c r="Q24" i="20"/>
  <c r="X10" i="20"/>
  <c r="Y10" i="20" s="1"/>
  <c r="AA24" i="19"/>
  <c r="S25" i="19"/>
  <c r="Z11" i="19"/>
  <c r="O25" i="19"/>
  <c r="Q25" i="19"/>
  <c r="Z12" i="19"/>
  <c r="AA12" i="19" s="1"/>
  <c r="AA11" i="19"/>
  <c r="P7" i="19"/>
  <c r="AA7" i="19" s="1"/>
  <c r="P16" i="19"/>
  <c r="AA15" i="19"/>
  <c r="Z17" i="19"/>
  <c r="AA17" i="19" s="1"/>
  <c r="Z16" i="19"/>
  <c r="P14" i="19"/>
  <c r="AA14" i="19" s="1"/>
  <c r="AA6" i="19"/>
  <c r="P8" i="19"/>
  <c r="T25" i="19"/>
  <c r="Z4" i="19"/>
  <c r="O12" i="18"/>
  <c r="O13" i="18"/>
  <c r="Y11" i="18"/>
  <c r="Y5" i="18"/>
  <c r="N25" i="18"/>
  <c r="X16" i="18"/>
  <c r="Y14" i="18"/>
  <c r="P25" i="18"/>
  <c r="X12" i="18"/>
  <c r="O17" i="18"/>
  <c r="Y17" i="18" s="1"/>
  <c r="O16" i="18"/>
  <c r="X13" i="18"/>
  <c r="S25" i="18"/>
  <c r="X4" i="18"/>
  <c r="O4" i="18"/>
  <c r="AA17" i="17"/>
  <c r="AA13" i="17"/>
  <c r="AA12" i="17"/>
  <c r="AA8" i="17"/>
  <c r="AA5" i="17"/>
  <c r="T25" i="17"/>
  <c r="Z4" i="17"/>
  <c r="S25" i="17"/>
  <c r="Z11" i="17"/>
  <c r="AA11" i="17" s="1"/>
  <c r="Z20" i="17"/>
  <c r="Z18" i="17"/>
  <c r="P20" i="17"/>
  <c r="P18" i="17"/>
  <c r="AA18" i="17" s="1"/>
  <c r="Z15" i="17"/>
  <c r="AA15" i="17" s="1"/>
  <c r="P14" i="17"/>
  <c r="Z14" i="17"/>
  <c r="N25" i="17"/>
  <c r="O25" i="17"/>
  <c r="P25" i="17"/>
  <c r="AA24" i="16"/>
  <c r="AA22" i="16"/>
  <c r="P25" i="16"/>
  <c r="Z12" i="16"/>
  <c r="AA12" i="16" s="1"/>
  <c r="Z20" i="16"/>
  <c r="AA20" i="16" s="1"/>
  <c r="Z18" i="16"/>
  <c r="AA18" i="16" s="1"/>
  <c r="Z16" i="16"/>
  <c r="AA16" i="16" s="1"/>
  <c r="Z15" i="16"/>
  <c r="AA15" i="16" s="1"/>
  <c r="AA14" i="16"/>
  <c r="R25" i="16"/>
  <c r="Z11" i="16"/>
  <c r="AA11" i="16" s="1"/>
  <c r="O25" i="16"/>
  <c r="S25" i="16"/>
  <c r="Z4" i="16"/>
  <c r="P21" i="15"/>
  <c r="P16" i="15"/>
  <c r="AA15" i="15"/>
  <c r="AB15" i="15" s="1"/>
  <c r="AB22" i="15"/>
  <c r="AB17" i="15"/>
  <c r="Q25" i="15"/>
  <c r="AA12" i="15"/>
  <c r="N25" i="15"/>
  <c r="AA21" i="15"/>
  <c r="P19" i="15"/>
  <c r="AA16" i="15"/>
  <c r="S25" i="15"/>
  <c r="AA11" i="15"/>
  <c r="AB11" i="15" s="1"/>
  <c r="AB12" i="15"/>
  <c r="AA4" i="15"/>
  <c r="T25" i="15"/>
  <c r="P14" i="15"/>
  <c r="AB14" i="15" s="1"/>
  <c r="P10" i="15"/>
  <c r="AB10" i="15" s="1"/>
  <c r="AB19" i="15" l="1"/>
  <c r="Y16" i="18"/>
  <c r="Z25" i="19"/>
  <c r="AB20" i="21"/>
  <c r="AB19" i="21"/>
  <c r="X25" i="22"/>
  <c r="Q13" i="25"/>
  <c r="Q14" i="25"/>
  <c r="Q15" i="25"/>
  <c r="Q16" i="25"/>
  <c r="Q17" i="25"/>
  <c r="Q18" i="25"/>
  <c r="K26" i="26"/>
  <c r="N25" i="26"/>
  <c r="S25" i="26" s="1"/>
  <c r="X25" i="23"/>
  <c r="Y15" i="18"/>
  <c r="AC8" i="24"/>
  <c r="AC7" i="24"/>
  <c r="AC10" i="24"/>
  <c r="AB18" i="24"/>
  <c r="AC18" i="24" s="1"/>
  <c r="U22" i="23"/>
  <c r="AE22" i="23" s="1"/>
  <c r="AD13" i="23"/>
  <c r="Q19" i="25"/>
  <c r="V14" i="25"/>
  <c r="W14" i="25" s="1"/>
  <c r="Q11" i="25"/>
  <c r="Q12" i="25"/>
  <c r="V20" i="25"/>
  <c r="X25" i="18"/>
  <c r="AB21" i="15"/>
  <c r="H26" i="24"/>
  <c r="AB17" i="24"/>
  <c r="AC17" i="24" s="1"/>
  <c r="T26" i="24"/>
  <c r="AB21" i="24"/>
  <c r="AC21" i="24" s="1"/>
  <c r="S26" i="24"/>
  <c r="W26" i="24"/>
  <c r="AB5" i="24"/>
  <c r="AB26" i="24" s="1"/>
  <c r="AC6" i="24"/>
  <c r="AD16" i="23"/>
  <c r="U18" i="23"/>
  <c r="AE18" i="23" s="1"/>
  <c r="U20" i="23"/>
  <c r="AE20" i="23" s="1"/>
  <c r="H25" i="23"/>
  <c r="T16" i="23"/>
  <c r="S16" i="23"/>
  <c r="Y25" i="23"/>
  <c r="AD4" i="23"/>
  <c r="S13" i="23"/>
  <c r="T13" i="23"/>
  <c r="U17" i="23"/>
  <c r="AE17" i="23" s="1"/>
  <c r="U15" i="23"/>
  <c r="AE15" i="23" s="1"/>
  <c r="U21" i="23"/>
  <c r="AE21" i="23" s="1"/>
  <c r="S10" i="26"/>
  <c r="I26" i="26"/>
  <c r="N5" i="26"/>
  <c r="S23" i="26"/>
  <c r="K25" i="25"/>
  <c r="S25" i="25"/>
  <c r="V11" i="25"/>
  <c r="T25" i="25"/>
  <c r="R25" i="25"/>
  <c r="V12" i="25"/>
  <c r="V15" i="25"/>
  <c r="W15" i="25" s="1"/>
  <c r="V16" i="25"/>
  <c r="W16" i="25" s="1"/>
  <c r="V17" i="25"/>
  <c r="W17" i="25" s="1"/>
  <c r="V18" i="25"/>
  <c r="W18" i="25" s="1"/>
  <c r="V19" i="25"/>
  <c r="W19" i="25" s="1"/>
  <c r="Q5" i="25"/>
  <c r="Q6" i="25"/>
  <c r="W6" i="25" s="1"/>
  <c r="I25" i="25"/>
  <c r="P25" i="25"/>
  <c r="N25" i="25"/>
  <c r="M25" i="25"/>
  <c r="W22" i="25"/>
  <c r="Q20" i="25"/>
  <c r="Q21" i="25"/>
  <c r="W21" i="25" s="1"/>
  <c r="J25" i="25"/>
  <c r="Q4" i="25"/>
  <c r="V13" i="25"/>
  <c r="W13" i="25" s="1"/>
  <c r="W11" i="25"/>
  <c r="L25" i="25"/>
  <c r="O25" i="25"/>
  <c r="Y4" i="22"/>
  <c r="Y25" i="22" s="1"/>
  <c r="AA24" i="21"/>
  <c r="AB3" i="21"/>
  <c r="AB15" i="21"/>
  <c r="AB6" i="21"/>
  <c r="Q24" i="21"/>
  <c r="X24" i="20"/>
  <c r="Y3" i="20"/>
  <c r="Y24" i="20" s="1"/>
  <c r="P25" i="19"/>
  <c r="AA8" i="19"/>
  <c r="AA4" i="19"/>
  <c r="AA16" i="19"/>
  <c r="O25" i="18"/>
  <c r="Y4" i="18"/>
  <c r="Y13" i="18"/>
  <c r="Y12" i="18"/>
  <c r="Z25" i="17"/>
  <c r="AA4" i="17"/>
  <c r="AA14" i="17"/>
  <c r="AA20" i="17"/>
  <c r="Z25" i="16"/>
  <c r="AA4" i="16"/>
  <c r="AB16" i="15"/>
  <c r="AA25" i="15"/>
  <c r="AB4" i="15"/>
  <c r="P25" i="15"/>
  <c r="W12" i="25" l="1"/>
  <c r="T25" i="23"/>
  <c r="AD25" i="23"/>
  <c r="W20" i="25"/>
  <c r="AA25" i="19"/>
  <c r="AC5" i="24"/>
  <c r="AC26" i="24" s="1"/>
  <c r="U13" i="23"/>
  <c r="S25" i="23"/>
  <c r="AE4" i="23"/>
  <c r="U16" i="23"/>
  <c r="AE16" i="23" s="1"/>
  <c r="N26" i="26"/>
  <c r="S5" i="26"/>
  <c r="W5" i="25"/>
  <c r="V25" i="25"/>
  <c r="Q25" i="25"/>
  <c r="W4" i="25"/>
  <c r="AB24" i="21"/>
  <c r="Y25" i="18"/>
  <c r="AA25" i="17"/>
  <c r="AA25" i="16"/>
  <c r="AB25" i="15"/>
  <c r="AE13" i="23" l="1"/>
  <c r="U25" i="23"/>
  <c r="AE25" i="23"/>
  <c r="S26" i="26"/>
  <c r="W25" i="25"/>
</calcChain>
</file>

<file path=xl/sharedStrings.xml><?xml version="1.0" encoding="utf-8"?>
<sst xmlns="http://schemas.openxmlformats.org/spreadsheetml/2006/main" count="859" uniqueCount="97">
  <si>
    <t>PRESTAMO SUTSGE</t>
  </si>
  <si>
    <t xml:space="preserve">NIVEL </t>
  </si>
  <si>
    <t>SUELDO BASE</t>
  </si>
  <si>
    <t>DESPENSA</t>
  </si>
  <si>
    <t>APOYO ECONOMÍA FAMILIAR</t>
  </si>
  <si>
    <t>VIDA CARA</t>
  </si>
  <si>
    <t>BONO DEL 8-13</t>
  </si>
  <si>
    <t>BONO Q1</t>
  </si>
  <si>
    <t>TRANSPORTE Q1</t>
  </si>
  <si>
    <t>QUI NQUENIO</t>
  </si>
  <si>
    <t>APOYO ECONÓMICO PARA EL AHORRO</t>
  </si>
  <si>
    <t>PUNTUALIDAD Y ASISTENCIA</t>
  </si>
  <si>
    <t>BONO POR AJUSTE</t>
  </si>
  <si>
    <t>CUOTA SINDICAL</t>
  </si>
  <si>
    <t>CAJA DE AHORRO SIND</t>
  </si>
  <si>
    <t>FONDO DE AHORRO</t>
  </si>
  <si>
    <t>PENSIONES BUROCRATAS</t>
  </si>
  <si>
    <t>ISR</t>
  </si>
  <si>
    <t>PREST.HIP ESPECIAL</t>
  </si>
  <si>
    <t>PRESTAMO PERSONAL</t>
  </si>
  <si>
    <t>PRESTAMO CORTO PLAZO</t>
  </si>
  <si>
    <t>HILARIO FLORES FILEMON</t>
  </si>
  <si>
    <t>RAMIREZ ROJAS JUAN PABLO</t>
  </si>
  <si>
    <t>HUAPILLA REYES VICTOR ALFONSO</t>
  </si>
  <si>
    <t>GUTIERREZ RODRIGUEZ SERGIO A.</t>
  </si>
  <si>
    <t>VAZQUEZ MEDINA MARIBEL DEL R</t>
  </si>
  <si>
    <t>ZUÑIGA MARTINEZ MARIBEL</t>
  </si>
  <si>
    <t>RODRIGUEZ SANDOVAL JORGE</t>
  </si>
  <si>
    <t>OREA ANDRADE SERGIO HIRAM</t>
  </si>
  <si>
    <t>MARTINEZ CERINO SARA</t>
  </si>
  <si>
    <t>SANCHEZ MEZA MARIA DEL ROSARIO ELIZABETH</t>
  </si>
  <si>
    <t>FRANCO MEDINA CLAUDIA</t>
  </si>
  <si>
    <t>SIERRA MIRANDA EZEQUIEL</t>
  </si>
  <si>
    <t>ENRIQUEZ POZOS JULIO CESAR</t>
  </si>
  <si>
    <t>RODRIGO SORIA MYRNA ARACELY</t>
  </si>
  <si>
    <t>ALVARADO SILVA GUSTAVO ADOLFO</t>
  </si>
  <si>
    <t>MORENO BERNAL JUAN DE DIOS</t>
  </si>
  <si>
    <t>SAENZ CANO HECTOR MISAEL</t>
  </si>
  <si>
    <t>HERNANDEZ HERNANDEZ ABRAHAM MARTIN</t>
  </si>
  <si>
    <t xml:space="preserve">AYALA ESQUIVEL BERENICE ALEJANDRA </t>
  </si>
  <si>
    <t xml:space="preserve">GLORIA DOMINGUEZ ANDREA ALEJANDRA </t>
  </si>
  <si>
    <t>CARRANCO MURIEL MARIAJOSE</t>
  </si>
  <si>
    <t>TOTAL</t>
  </si>
  <si>
    <t>PREVISIÓN SOCIAL</t>
  </si>
  <si>
    <t>AYUDA TRANSPORTE</t>
  </si>
  <si>
    <t>APOYO A SERVICIOS</t>
  </si>
  <si>
    <t>COMPENSACIÓN MENSUAL</t>
  </si>
  <si>
    <t>BONO DEL 1-7</t>
  </si>
  <si>
    <t>BONO MENSUAL DEL 7-13</t>
  </si>
  <si>
    <t>DESPENSA Q2</t>
  </si>
  <si>
    <t xml:space="preserve">BECA ESCOLAR PARA HIJOS DE TRABAJADORES </t>
  </si>
  <si>
    <t xml:space="preserve">BONO ANUAL DE SUPERACION </t>
  </si>
  <si>
    <t>PRESTAMO CAJA DE AHORRO SUTSGE</t>
  </si>
  <si>
    <t>BONO ANUAL POR DESEMPEÑO</t>
  </si>
  <si>
    <t>CONFIANZA</t>
  </si>
  <si>
    <t>BASE CONFIANZA</t>
  </si>
  <si>
    <t>PRIMA VACACIONAL GRAVADA</t>
  </si>
  <si>
    <t>PRIMA VACACIONAL EXENTA</t>
  </si>
  <si>
    <t>C</t>
  </si>
  <si>
    <t>BC</t>
  </si>
  <si>
    <t>BS</t>
  </si>
  <si>
    <t>E</t>
  </si>
  <si>
    <t>BASE SINDICALIZABLE</t>
  </si>
  <si>
    <t>EVENTUAL</t>
  </si>
  <si>
    <t>PRESTAMO SOLTGE</t>
  </si>
  <si>
    <t>BONO DEL ADMINISTRATIVO</t>
  </si>
  <si>
    <t>SUELDO MENSUAL</t>
  </si>
  <si>
    <t>BONO FORTALECIMIENTO ECONOMICO</t>
  </si>
  <si>
    <t>BONO POR CAPACITACION</t>
  </si>
  <si>
    <t>PLANTILLA DE PERSONAL DEL 16/10/2023 AL 31/10/2023</t>
  </si>
  <si>
    <t>INCREMENTO 2.0%</t>
  </si>
  <si>
    <t>NUEVO SUELDO</t>
  </si>
  <si>
    <t>BONO SEMESTRAL (2 EXHIBICIONES)</t>
  </si>
  <si>
    <t xml:space="preserve">BONO DE EQUILIBRIO  </t>
  </si>
  <si>
    <t>PRIMA VACACIONAL</t>
  </si>
  <si>
    <t>AGUINALDO GRAVADO</t>
  </si>
  <si>
    <t>AGUINALDO EXENTO</t>
  </si>
  <si>
    <t>prestacion ise</t>
  </si>
  <si>
    <t xml:space="preserve">OREA ANDRADE SERGIO HIRAM </t>
  </si>
  <si>
    <t>SUELDO BASE ANTES DE INCREMENTO</t>
  </si>
  <si>
    <t>SUELDO MENSUAL ANTES DE INCREMENTO</t>
  </si>
  <si>
    <t>SUELDO BASE CON INCREMENTO</t>
  </si>
  <si>
    <t>SUELDO MENSUAL CON INCREMENTO</t>
  </si>
  <si>
    <t>BONO NAVIDEÑO</t>
  </si>
  <si>
    <t>APOYO UTILES ESCOLARES</t>
  </si>
  <si>
    <t>PLANTILLA DE PERSONAL DEL 01/08/2023 AL 15/28/2023</t>
  </si>
  <si>
    <t>PLANTILLA DE PERSONAL DEL 01/09/2023 AL 15/09/2023</t>
  </si>
  <si>
    <t>PLANTILLA DE PERSONAL DEL 15/09/2023 AL 30/09/2023</t>
  </si>
  <si>
    <t>PLANTILLA DE PERSONAL DEL 01/10/2023 AL 15/10/2023</t>
  </si>
  <si>
    <t>PLANTILLA DE PERSONAL DEL 01/11/2023 AL 15/11/2023</t>
  </si>
  <si>
    <t>PLANTILLA DE PERSONAL DEL 16/11/2023 AL 30/11/2023</t>
  </si>
  <si>
    <t>PRESTAMO VEHICULO SUTSGE</t>
  </si>
  <si>
    <t>PLANTILLA DE PERSONAL DEL 01/02/2023 AL 30/11/2023</t>
  </si>
  <si>
    <t>PLANTILLA DE PERSONAL DEL 01/01/2023 AL 31/12/2023</t>
  </si>
  <si>
    <t>PLANTILLA DE PERSONAL DEL 01/12/2023 AL 15/12/2023</t>
  </si>
  <si>
    <t>PLANTILLA DE PERSONAL DEL 15/12/2023 AL 31/12/2023</t>
  </si>
  <si>
    <t>PLANTILLA DE PERSONAL DEL 16/08/2023 AL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</si>
</sst>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6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justify" wrapText="1"/>
    </xf>
    <xf numFmtId="0" fontId="13" fillId="0" borderId="1" xfId="0" applyFont="1" applyFill="1" applyBorder="1" applyAlignment="1">
      <alignment horizontal="center" vertical="justify" wrapText="1"/>
    </xf>
    <xf numFmtId="164" fontId="7" fillId="0" borderId="9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center" wrapText="1"/>
    </xf>
    <xf numFmtId="164" fontId="7" fillId="0" borderId="10" xfId="1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164" fontId="7" fillId="0" borderId="11" xfId="1" applyFont="1" applyFill="1" applyBorder="1" applyAlignment="1">
      <alignment horizontal="center" wrapText="1"/>
    </xf>
    <xf numFmtId="164" fontId="0" fillId="0" borderId="0" xfId="0" applyNumberFormat="1"/>
    <xf numFmtId="164" fontId="7" fillId="0" borderId="1" xfId="1" applyFont="1" applyFill="1" applyBorder="1" applyAlignment="1">
      <alignment horizontal="center"/>
    </xf>
    <xf numFmtId="164" fontId="7" fillId="0" borderId="2" xfId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center" vertical="center"/>
    </xf>
    <xf numFmtId="164" fontId="7" fillId="0" borderId="12" xfId="1" applyFont="1" applyFill="1" applyBorder="1" applyAlignment="1">
      <alignment horizontal="center"/>
    </xf>
    <xf numFmtId="164" fontId="7" fillId="0" borderId="13" xfId="1" applyFont="1" applyFill="1" applyBorder="1" applyAlignment="1">
      <alignment horizontal="center"/>
    </xf>
    <xf numFmtId="164" fontId="7" fillId="0" borderId="12" xfId="0" applyNumberFormat="1" applyFont="1" applyFill="1" applyBorder="1"/>
    <xf numFmtId="0" fontId="13" fillId="0" borderId="9" xfId="0" applyFont="1" applyFill="1" applyBorder="1" applyAlignment="1">
      <alignment horizontal="center" vertical="justify" wrapText="1"/>
    </xf>
    <xf numFmtId="164" fontId="7" fillId="0" borderId="12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14" fillId="3" borderId="14" xfId="0" applyNumberFormat="1" applyFont="1" applyFill="1" applyBorder="1" applyAlignment="1">
      <alignment horizontal="center" vertical="center"/>
    </xf>
    <xf numFmtId="4" fontId="15" fillId="0" borderId="0" xfId="0" applyNumberFormat="1" applyFont="1"/>
    <xf numFmtId="4" fontId="0" fillId="0" borderId="0" xfId="0" applyNumberFormat="1"/>
    <xf numFmtId="164" fontId="7" fillId="0" borderId="1" xfId="0" applyNumberFormat="1" applyFont="1" applyFill="1" applyBorder="1"/>
    <xf numFmtId="164" fontId="7" fillId="0" borderId="2" xfId="1" applyFont="1" applyFill="1" applyBorder="1" applyAlignment="1">
      <alignment horizontal="center" vertical="center"/>
    </xf>
    <xf numFmtId="164" fontId="7" fillId="0" borderId="13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165" fontId="7" fillId="0" borderId="2" xfId="2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7" fillId="0" borderId="1" xfId="0" applyFont="1" applyFill="1" applyBorder="1"/>
    <xf numFmtId="0" fontId="0" fillId="0" borderId="0" xfId="0" applyFill="1"/>
    <xf numFmtId="0" fontId="12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ULO%20ISR%20TABLAS%20Y%20REGLAMENTO%2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opcion 2"/>
      <sheetName val="CON PRESTACIONES GRAVADAS"/>
    </sheetNames>
    <sheetDataSet>
      <sheetData sheetId="0"/>
      <sheetData sheetId="1"/>
      <sheetData sheetId="2"/>
      <sheetData sheetId="3">
        <row r="73">
          <cell r="C73">
            <v>23278.237136</v>
          </cell>
          <cell r="D73">
            <v>17589.638518211425</v>
          </cell>
          <cell r="E73">
            <v>17589.638518211425</v>
          </cell>
          <cell r="H73">
            <v>22868.281564799981</v>
          </cell>
          <cell r="I73">
            <v>22868.281564799981</v>
          </cell>
          <cell r="J73">
            <v>22868.284999999993</v>
          </cell>
          <cell r="K73">
            <v>13301.16428712961</v>
          </cell>
          <cell r="L73">
            <v>23470.40626399999</v>
          </cell>
          <cell r="N73">
            <v>18613.118646028452</v>
          </cell>
          <cell r="O73">
            <v>15028.169643273633</v>
          </cell>
          <cell r="P73">
            <v>17841.975294749442</v>
          </cell>
          <cell r="R73">
            <v>12703.489383424005</v>
          </cell>
          <cell r="T73">
            <v>12799.629308928001</v>
          </cell>
          <cell r="U73">
            <v>11123.794549503984</v>
          </cell>
          <cell r="V73">
            <v>10602.902944815996</v>
          </cell>
          <cell r="X73">
            <v>9137.0134858240035</v>
          </cell>
          <cell r="Y73">
            <v>7923.3207164160021</v>
          </cell>
          <cell r="Z73">
            <v>8105.0631456479887</v>
          </cell>
          <cell r="AA73">
            <v>8536.7166716173615</v>
          </cell>
          <cell r="AB73">
            <v>4940.0135018932715</v>
          </cell>
          <cell r="AF73">
            <v>1215.5418093145809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tabSelected="1" topLeftCell="A7" workbookViewId="0">
      <selection activeCell="I25" sqref="I25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5" width="8.7109375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4" width="8.5703125" customWidth="1"/>
    <col min="25" max="26" width="10.140625" customWidth="1"/>
    <col min="27" max="27" width="9.5703125" customWidth="1"/>
    <col min="28" max="28" width="12.5703125" bestFit="1" customWidth="1"/>
  </cols>
  <sheetData>
    <row r="1" spans="2:28" ht="18.75" x14ac:dyDescent="0.25">
      <c r="E1" s="1"/>
      <c r="F1" s="2" t="s">
        <v>85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8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8" ht="48.75" customHeight="1" x14ac:dyDescent="0.25">
      <c r="B3" s="40"/>
      <c r="C3" s="40"/>
      <c r="D3" s="3" t="s">
        <v>1</v>
      </c>
      <c r="E3" s="44" t="s">
        <v>2</v>
      </c>
      <c r="F3" s="45" t="s">
        <v>3</v>
      </c>
      <c r="G3" s="45" t="s">
        <v>4</v>
      </c>
      <c r="H3" s="45" t="s">
        <v>5</v>
      </c>
      <c r="I3" s="45" t="s">
        <v>6</v>
      </c>
      <c r="J3" s="45" t="s">
        <v>7</v>
      </c>
      <c r="K3" s="45" t="s">
        <v>8</v>
      </c>
      <c r="L3" s="45" t="s">
        <v>9</v>
      </c>
      <c r="M3" s="45" t="s">
        <v>10</v>
      </c>
      <c r="N3" s="45" t="s">
        <v>11</v>
      </c>
      <c r="O3" s="46" t="s">
        <v>65</v>
      </c>
      <c r="P3" s="41"/>
      <c r="Q3" s="4" t="s">
        <v>13</v>
      </c>
      <c r="R3" s="4" t="s">
        <v>14</v>
      </c>
      <c r="S3" s="4" t="s">
        <v>15</v>
      </c>
      <c r="T3" s="4" t="s">
        <v>16</v>
      </c>
      <c r="U3" s="4" t="s">
        <v>17</v>
      </c>
      <c r="V3" s="5" t="s">
        <v>18</v>
      </c>
      <c r="W3" s="5" t="s">
        <v>19</v>
      </c>
      <c r="X3" s="6" t="s">
        <v>20</v>
      </c>
      <c r="Y3" s="42" t="s">
        <v>0</v>
      </c>
      <c r="Z3" s="42" t="s">
        <v>52</v>
      </c>
      <c r="AA3" s="42"/>
      <c r="AB3" s="43"/>
    </row>
    <row r="4" spans="2:28" x14ac:dyDescent="0.25">
      <c r="B4" s="7" t="s">
        <v>58</v>
      </c>
      <c r="C4" s="8" t="s">
        <v>21</v>
      </c>
      <c r="D4" s="9">
        <v>17</v>
      </c>
      <c r="E4" s="10">
        <f>38573.38/2</f>
        <v>19286.689999999999</v>
      </c>
      <c r="F4" s="12">
        <v>200</v>
      </c>
      <c r="G4" s="11"/>
      <c r="H4" s="12"/>
      <c r="I4" s="11"/>
      <c r="J4" s="11"/>
      <c r="K4" s="11"/>
      <c r="L4" s="11"/>
      <c r="M4" s="11"/>
      <c r="N4" s="13"/>
      <c r="O4" s="13"/>
      <c r="P4" s="14">
        <f t="shared" ref="P4:P24" si="0">SUM(E4:O4)</f>
        <v>19486.689999999999</v>
      </c>
      <c r="Q4" s="11"/>
      <c r="R4" s="11"/>
      <c r="S4" s="11"/>
      <c r="T4" s="11">
        <f t="shared" ref="T4:T22" si="1">(E4*0.07)</f>
        <v>1350.0683000000001</v>
      </c>
      <c r="U4" s="11">
        <v>3388.3970879999997</v>
      </c>
      <c r="V4" s="15"/>
      <c r="W4" s="16"/>
      <c r="X4" s="16"/>
      <c r="Y4" s="16"/>
      <c r="Z4" s="16"/>
      <c r="AA4" s="16">
        <f>SUM(Q4:Z4)</f>
        <v>4738.4653879999996</v>
      </c>
      <c r="AB4" s="17">
        <f>+P4-AA4</f>
        <v>14748.224611999998</v>
      </c>
    </row>
    <row r="5" spans="2:28" x14ac:dyDescent="0.25">
      <c r="B5" s="7" t="s">
        <v>58</v>
      </c>
      <c r="C5" s="8" t="s">
        <v>22</v>
      </c>
      <c r="D5" s="9">
        <v>14</v>
      </c>
      <c r="E5" s="10">
        <f>14917.51</f>
        <v>14917.51</v>
      </c>
      <c r="F5" s="12">
        <v>200</v>
      </c>
      <c r="G5" s="19"/>
      <c r="H5" s="12"/>
      <c r="I5" s="19"/>
      <c r="J5" s="19"/>
      <c r="K5" s="19"/>
      <c r="L5" s="19"/>
      <c r="M5" s="19"/>
      <c r="N5" s="20"/>
      <c r="O5" s="20"/>
      <c r="P5" s="14">
        <f t="shared" si="0"/>
        <v>15117.51</v>
      </c>
      <c r="Q5" s="19"/>
      <c r="R5" s="19"/>
      <c r="S5" s="19"/>
      <c r="T5" s="11">
        <f t="shared" si="1"/>
        <v>1044.2257000000002</v>
      </c>
      <c r="U5" s="19">
        <v>2373.7416400000002</v>
      </c>
      <c r="V5" s="21"/>
      <c r="W5" s="22"/>
      <c r="X5" s="22"/>
      <c r="Y5" s="22"/>
      <c r="Z5" s="22"/>
      <c r="AA5" s="16">
        <f t="shared" ref="AA5:AA24" si="2">SUM(Q5:Z5)</f>
        <v>3417.9673400000001</v>
      </c>
      <c r="AB5" s="17">
        <f t="shared" ref="AB5:AB24" si="3">+P5-AA5</f>
        <v>11699.542659999999</v>
      </c>
    </row>
    <row r="6" spans="2:28" x14ac:dyDescent="0.25">
      <c r="B6" s="7" t="s">
        <v>58</v>
      </c>
      <c r="C6" s="8" t="s">
        <v>23</v>
      </c>
      <c r="D6" s="9">
        <v>14</v>
      </c>
      <c r="E6" s="10">
        <f>14917.51</f>
        <v>14917.51</v>
      </c>
      <c r="F6" s="12">
        <v>200</v>
      </c>
      <c r="G6" s="19"/>
      <c r="H6" s="12"/>
      <c r="I6" s="19"/>
      <c r="J6" s="19"/>
      <c r="K6" s="19"/>
      <c r="L6" s="19"/>
      <c r="M6" s="19"/>
      <c r="N6" s="20"/>
      <c r="O6" s="20"/>
      <c r="P6" s="14">
        <f t="shared" si="0"/>
        <v>15117.51</v>
      </c>
      <c r="Q6" s="19"/>
      <c r="R6" s="19"/>
      <c r="S6" s="19"/>
      <c r="T6" s="11">
        <f t="shared" si="1"/>
        <v>1044.2257000000002</v>
      </c>
      <c r="U6" s="19">
        <v>2373.7416400000002</v>
      </c>
      <c r="V6" s="21"/>
      <c r="W6" s="22"/>
      <c r="X6" s="22"/>
      <c r="Y6" s="22"/>
      <c r="Z6" s="22"/>
      <c r="AA6" s="16">
        <f t="shared" si="2"/>
        <v>3417.9673400000001</v>
      </c>
      <c r="AB6" s="17">
        <f t="shared" si="3"/>
        <v>11699.542659999999</v>
      </c>
    </row>
    <row r="7" spans="2:28" x14ac:dyDescent="0.25">
      <c r="B7" s="7" t="s">
        <v>59</v>
      </c>
      <c r="C7" s="8" t="s">
        <v>24</v>
      </c>
      <c r="D7" s="9">
        <v>13</v>
      </c>
      <c r="E7" s="10">
        <f>15022.1</f>
        <v>15022.1</v>
      </c>
      <c r="F7" s="12">
        <v>900</v>
      </c>
      <c r="G7" s="12">
        <v>900</v>
      </c>
      <c r="H7" s="12">
        <v>900</v>
      </c>
      <c r="I7" s="12">
        <v>3000</v>
      </c>
      <c r="J7" s="19">
        <v>3341.8</v>
      </c>
      <c r="K7" s="19">
        <v>733</v>
      </c>
      <c r="L7" s="12"/>
      <c r="M7" s="19"/>
      <c r="N7" s="20">
        <f t="shared" ref="N7:N14" si="4">(E7/15)*2</f>
        <v>2002.9466666666667</v>
      </c>
      <c r="O7" s="20">
        <v>6500</v>
      </c>
      <c r="P7" s="14">
        <f t="shared" si="0"/>
        <v>33299.846666666665</v>
      </c>
      <c r="Q7" s="19"/>
      <c r="R7" s="19"/>
      <c r="S7" s="19"/>
      <c r="T7" s="11">
        <f t="shared" si="1"/>
        <v>1051.547</v>
      </c>
      <c r="U7" s="19">
        <v>4193.788528</v>
      </c>
      <c r="V7" s="21"/>
      <c r="W7" s="22"/>
      <c r="X7" s="22"/>
      <c r="Y7" s="22"/>
      <c r="Z7" s="22"/>
      <c r="AA7" s="16">
        <f t="shared" si="2"/>
        <v>5245.3355279999996</v>
      </c>
      <c r="AB7" s="17">
        <f t="shared" si="3"/>
        <v>28054.511138666665</v>
      </c>
    </row>
    <row r="8" spans="2:28" ht="15" customHeight="1" x14ac:dyDescent="0.25">
      <c r="B8" s="7" t="s">
        <v>59</v>
      </c>
      <c r="C8" s="8" t="s">
        <v>25</v>
      </c>
      <c r="D8" s="9">
        <v>13</v>
      </c>
      <c r="E8" s="10">
        <f>15022.1</f>
        <v>15022.1</v>
      </c>
      <c r="F8" s="12">
        <v>900</v>
      </c>
      <c r="G8" s="12">
        <v>900</v>
      </c>
      <c r="H8" s="12">
        <v>900</v>
      </c>
      <c r="I8" s="12">
        <v>3000</v>
      </c>
      <c r="J8" s="19">
        <v>3341.8</v>
      </c>
      <c r="K8" s="19">
        <v>733</v>
      </c>
      <c r="L8" s="12"/>
      <c r="M8" s="19"/>
      <c r="N8" s="20">
        <f t="shared" si="4"/>
        <v>2002.9466666666667</v>
      </c>
      <c r="O8" s="20">
        <v>6500</v>
      </c>
      <c r="P8" s="14">
        <f t="shared" si="0"/>
        <v>33299.846666666665</v>
      </c>
      <c r="Q8" s="19"/>
      <c r="R8" s="19"/>
      <c r="S8" s="19"/>
      <c r="T8" s="11">
        <f t="shared" si="1"/>
        <v>1051.547</v>
      </c>
      <c r="U8" s="19">
        <v>4193.788528</v>
      </c>
      <c r="V8" s="21"/>
      <c r="W8" s="22"/>
      <c r="X8" s="22"/>
      <c r="Y8" s="22"/>
      <c r="Z8" s="22"/>
      <c r="AA8" s="16">
        <f t="shared" si="2"/>
        <v>5245.3355279999996</v>
      </c>
      <c r="AB8" s="17">
        <f t="shared" si="3"/>
        <v>28054.511138666665</v>
      </c>
    </row>
    <row r="9" spans="2:28" ht="15" customHeight="1" x14ac:dyDescent="0.25">
      <c r="B9" s="7" t="s">
        <v>59</v>
      </c>
      <c r="C9" s="8" t="s">
        <v>26</v>
      </c>
      <c r="D9" s="9">
        <v>13</v>
      </c>
      <c r="E9" s="10">
        <f>15022.1</f>
        <v>15022.1</v>
      </c>
      <c r="F9" s="12">
        <v>900</v>
      </c>
      <c r="G9" s="12">
        <v>900</v>
      </c>
      <c r="H9" s="12">
        <v>900</v>
      </c>
      <c r="I9" s="12">
        <v>3000</v>
      </c>
      <c r="J9" s="19">
        <v>3341.8</v>
      </c>
      <c r="K9" s="19">
        <v>733</v>
      </c>
      <c r="L9" s="12"/>
      <c r="M9" s="19"/>
      <c r="N9" s="20">
        <f t="shared" si="4"/>
        <v>2002.9466666666667</v>
      </c>
      <c r="O9" s="20">
        <v>6500</v>
      </c>
      <c r="P9" s="14">
        <f t="shared" si="0"/>
        <v>33299.846666666665</v>
      </c>
      <c r="Q9" s="19"/>
      <c r="R9" s="19"/>
      <c r="S9" s="19"/>
      <c r="T9" s="11">
        <f t="shared" si="1"/>
        <v>1051.547</v>
      </c>
      <c r="U9" s="19">
        <v>4193.788528</v>
      </c>
      <c r="V9" s="21"/>
      <c r="W9" s="22"/>
      <c r="X9" s="22"/>
      <c r="Y9" s="22"/>
      <c r="Z9" s="22"/>
      <c r="AA9" s="16">
        <f t="shared" si="2"/>
        <v>5245.3355279999996</v>
      </c>
      <c r="AB9" s="17">
        <f t="shared" si="3"/>
        <v>28054.511138666665</v>
      </c>
    </row>
    <row r="10" spans="2:28" ht="15" customHeight="1" x14ac:dyDescent="0.25">
      <c r="B10" s="7" t="s">
        <v>59</v>
      </c>
      <c r="C10" s="8" t="s">
        <v>27</v>
      </c>
      <c r="D10" s="9">
        <v>9</v>
      </c>
      <c r="E10" s="10">
        <f>11333.03</f>
        <v>11333.03</v>
      </c>
      <c r="F10" s="12">
        <v>900</v>
      </c>
      <c r="G10" s="12">
        <v>900</v>
      </c>
      <c r="H10" s="12">
        <v>900</v>
      </c>
      <c r="I10" s="12">
        <v>1050</v>
      </c>
      <c r="J10" s="19">
        <v>1803.2</v>
      </c>
      <c r="K10" s="19">
        <v>675</v>
      </c>
      <c r="L10" s="12"/>
      <c r="M10" s="19"/>
      <c r="N10" s="20">
        <f t="shared" si="4"/>
        <v>1511.0706666666667</v>
      </c>
      <c r="O10" s="20">
        <v>6500</v>
      </c>
      <c r="P10" s="14">
        <f t="shared" si="0"/>
        <v>25572.300666666666</v>
      </c>
      <c r="Q10" s="19"/>
      <c r="R10" s="19"/>
      <c r="S10" s="19"/>
      <c r="T10" s="11">
        <f t="shared" si="1"/>
        <v>793.3121000000001</v>
      </c>
      <c r="U10" s="19">
        <v>2851.1944864000002</v>
      </c>
      <c r="V10" s="21"/>
      <c r="W10" s="22"/>
      <c r="X10" s="22">
        <f>2097.17</f>
        <v>2097.17</v>
      </c>
      <c r="Y10" s="22"/>
      <c r="Z10" s="22"/>
      <c r="AA10" s="16">
        <f t="shared" si="2"/>
        <v>5741.6765864000008</v>
      </c>
      <c r="AB10" s="17">
        <f t="shared" si="3"/>
        <v>19830.624080266665</v>
      </c>
    </row>
    <row r="11" spans="2:28" ht="15" customHeight="1" x14ac:dyDescent="0.25">
      <c r="B11" s="7" t="s">
        <v>60</v>
      </c>
      <c r="C11" s="8" t="s">
        <v>28</v>
      </c>
      <c r="D11" s="9">
        <v>10</v>
      </c>
      <c r="E11" s="10">
        <f>14753.0937824354*1.025</f>
        <v>15121.921126996283</v>
      </c>
      <c r="F11" s="12">
        <v>1100</v>
      </c>
      <c r="G11" s="12">
        <v>1133</v>
      </c>
      <c r="H11" s="12">
        <v>1140</v>
      </c>
      <c r="I11" s="12">
        <v>1150</v>
      </c>
      <c r="J11" s="19">
        <v>1934.8</v>
      </c>
      <c r="K11" s="19">
        <v>787</v>
      </c>
      <c r="L11" s="12"/>
      <c r="M11" s="19">
        <v>945</v>
      </c>
      <c r="N11" s="20">
        <f t="shared" si="4"/>
        <v>2016.2561502661711</v>
      </c>
      <c r="O11" s="20">
        <f>7750+233</f>
        <v>7983</v>
      </c>
      <c r="P11" s="14">
        <f t="shared" si="0"/>
        <v>33310.977277262456</v>
      </c>
      <c r="Q11" s="19"/>
      <c r="R11" s="19"/>
      <c r="S11" s="19">
        <f t="shared" ref="S11:S22" si="5">(E11*0.07)</f>
        <v>1058.5344788897398</v>
      </c>
      <c r="T11" s="11">
        <f t="shared" si="1"/>
        <v>1058.5344788897398</v>
      </c>
      <c r="U11" s="19">
        <v>4127.6916523408272</v>
      </c>
      <c r="V11" s="21"/>
      <c r="W11" s="22"/>
      <c r="X11" s="22"/>
      <c r="Y11" s="22"/>
      <c r="Z11" s="22"/>
      <c r="AA11" s="16">
        <f t="shared" si="2"/>
        <v>6244.7606101203073</v>
      </c>
      <c r="AB11" s="17">
        <f t="shared" si="3"/>
        <v>27066.216667142151</v>
      </c>
    </row>
    <row r="12" spans="2:28" ht="15" customHeight="1" x14ac:dyDescent="0.25">
      <c r="B12" s="7" t="s">
        <v>60</v>
      </c>
      <c r="C12" s="8" t="s">
        <v>29</v>
      </c>
      <c r="D12" s="9">
        <v>8</v>
      </c>
      <c r="E12" s="10">
        <f>12779.3925*1.025</f>
        <v>13098.877312499999</v>
      </c>
      <c r="F12" s="12">
        <v>1100</v>
      </c>
      <c r="G12" s="12">
        <v>1133</v>
      </c>
      <c r="H12" s="12">
        <v>1140</v>
      </c>
      <c r="I12" s="12">
        <v>1000</v>
      </c>
      <c r="J12" s="11">
        <v>1677.2</v>
      </c>
      <c r="K12" s="11">
        <f>662+100</f>
        <v>762</v>
      </c>
      <c r="L12" s="12">
        <f>225</f>
        <v>225</v>
      </c>
      <c r="M12" s="12">
        <v>838</v>
      </c>
      <c r="N12" s="20">
        <f t="shared" si="4"/>
        <v>1746.5169749999998</v>
      </c>
      <c r="O12" s="20">
        <v>7983</v>
      </c>
      <c r="P12" s="14">
        <f t="shared" si="0"/>
        <v>30703.5942875</v>
      </c>
      <c r="Q12" s="19">
        <f t="shared" ref="Q12:Q21" si="6">(E12*0.01)</f>
        <v>130.98877312499999</v>
      </c>
      <c r="R12" s="19">
        <f>1000</f>
        <v>1000</v>
      </c>
      <c r="S12" s="19">
        <f t="shared" si="5"/>
        <v>916.92141187499999</v>
      </c>
      <c r="T12" s="11">
        <f t="shared" si="1"/>
        <v>916.92141187499999</v>
      </c>
      <c r="U12" s="19">
        <v>3609.6134601599997</v>
      </c>
      <c r="V12" s="21"/>
      <c r="W12" s="22"/>
      <c r="X12" s="22"/>
      <c r="Y12" s="22">
        <v>966.64</v>
      </c>
      <c r="Z12" s="22"/>
      <c r="AA12" s="16">
        <f t="shared" si="2"/>
        <v>7541.0850570350003</v>
      </c>
      <c r="AB12" s="17">
        <f t="shared" si="3"/>
        <v>23162.509230464999</v>
      </c>
    </row>
    <row r="13" spans="2:28" ht="22.5" x14ac:dyDescent="0.25">
      <c r="B13" s="7" t="s">
        <v>60</v>
      </c>
      <c r="C13" s="23" t="s">
        <v>30</v>
      </c>
      <c r="D13" s="24">
        <v>7</v>
      </c>
      <c r="E13" s="10">
        <f>11939.2455*1.025</f>
        <v>12237.7266375</v>
      </c>
      <c r="F13" s="12">
        <v>1100</v>
      </c>
      <c r="G13" s="12">
        <v>1133</v>
      </c>
      <c r="H13" s="12">
        <v>1140</v>
      </c>
      <c r="I13" s="12"/>
      <c r="J13" s="11">
        <v>1565.2</v>
      </c>
      <c r="K13" s="11">
        <f>651+100</f>
        <v>751</v>
      </c>
      <c r="L13" s="19">
        <v>325</v>
      </c>
      <c r="M13" s="19">
        <v>793</v>
      </c>
      <c r="N13" s="20">
        <f t="shared" si="4"/>
        <v>1631.6968850000001</v>
      </c>
      <c r="O13" s="20">
        <v>7983</v>
      </c>
      <c r="P13" s="14">
        <f t="shared" si="0"/>
        <v>28659.623522500002</v>
      </c>
      <c r="Q13" s="19">
        <f t="shared" si="6"/>
        <v>122.377266375</v>
      </c>
      <c r="R13" s="19"/>
      <c r="S13" s="19">
        <f t="shared" si="5"/>
        <v>856.64086462500006</v>
      </c>
      <c r="T13" s="11">
        <f t="shared" si="1"/>
        <v>856.64086462500006</v>
      </c>
      <c r="U13" s="19">
        <v>3279.731178816</v>
      </c>
      <c r="V13" s="22"/>
      <c r="W13" s="21"/>
      <c r="X13" s="21"/>
      <c r="Y13" s="21"/>
      <c r="Z13" s="21"/>
      <c r="AA13" s="16">
        <f t="shared" si="2"/>
        <v>5115.3901744409995</v>
      </c>
      <c r="AB13" s="17">
        <f t="shared" si="3"/>
        <v>23544.233348059002</v>
      </c>
    </row>
    <row r="14" spans="2:28" x14ac:dyDescent="0.25">
      <c r="B14" s="7" t="s">
        <v>60</v>
      </c>
      <c r="C14" s="23" t="s">
        <v>31</v>
      </c>
      <c r="D14" s="24">
        <v>7</v>
      </c>
      <c r="E14" s="10">
        <f>11939.2455*1.025</f>
        <v>12237.7266375</v>
      </c>
      <c r="F14" s="12">
        <v>1100</v>
      </c>
      <c r="G14" s="12">
        <v>1133</v>
      </c>
      <c r="H14" s="12">
        <v>1140</v>
      </c>
      <c r="I14" s="12"/>
      <c r="J14" s="11">
        <v>1565.2</v>
      </c>
      <c r="K14" s="11">
        <f>651+100</f>
        <v>751</v>
      </c>
      <c r="L14" s="19"/>
      <c r="M14" s="19">
        <v>793</v>
      </c>
      <c r="N14" s="20">
        <f t="shared" si="4"/>
        <v>1631.6968850000001</v>
      </c>
      <c r="O14" s="20">
        <v>7983</v>
      </c>
      <c r="P14" s="14">
        <f t="shared" si="0"/>
        <v>28334.623522500002</v>
      </c>
      <c r="Q14" s="19">
        <f t="shared" si="6"/>
        <v>122.377266375</v>
      </c>
      <c r="R14" s="19"/>
      <c r="S14" s="19">
        <f t="shared" si="5"/>
        <v>856.64086462500006</v>
      </c>
      <c r="T14" s="11">
        <f t="shared" si="1"/>
        <v>856.64086462500006</v>
      </c>
      <c r="U14" s="19">
        <v>3203.291178816</v>
      </c>
      <c r="V14" s="21"/>
      <c r="W14" s="22"/>
      <c r="X14" s="21"/>
      <c r="Y14" s="21"/>
      <c r="Z14" s="21"/>
      <c r="AA14" s="16">
        <f t="shared" si="2"/>
        <v>5038.9501744409999</v>
      </c>
      <c r="AB14" s="17">
        <f t="shared" si="3"/>
        <v>23295.673348059001</v>
      </c>
    </row>
    <row r="15" spans="2:28" x14ac:dyDescent="0.25">
      <c r="B15" s="7" t="s">
        <v>60</v>
      </c>
      <c r="C15" s="8" t="s">
        <v>32</v>
      </c>
      <c r="D15" s="9">
        <v>5</v>
      </c>
      <c r="E15" s="10">
        <f>10472.385*1.025</f>
        <v>10734.194625</v>
      </c>
      <c r="F15" s="12">
        <v>1100</v>
      </c>
      <c r="G15" s="12">
        <v>1133</v>
      </c>
      <c r="H15" s="12">
        <v>1140</v>
      </c>
      <c r="I15" s="12"/>
      <c r="J15" s="12">
        <v>1241.8</v>
      </c>
      <c r="K15" s="12">
        <f>632+100</f>
        <v>732</v>
      </c>
      <c r="L15" s="19">
        <f>525</f>
        <v>525</v>
      </c>
      <c r="M15" s="19">
        <v>713</v>
      </c>
      <c r="N15" s="20">
        <f t="shared" ref="N15:N22" si="7">(E15/15)*2</f>
        <v>1431.22595</v>
      </c>
      <c r="O15" s="20">
        <v>7983</v>
      </c>
      <c r="P15" s="14">
        <f t="shared" si="0"/>
        <v>26733.220574999999</v>
      </c>
      <c r="Q15" s="19">
        <f t="shared" si="6"/>
        <v>107.34194625000001</v>
      </c>
      <c r="R15" s="19"/>
      <c r="S15" s="19">
        <f t="shared" si="5"/>
        <v>751.39362375000007</v>
      </c>
      <c r="T15" s="11">
        <f t="shared" si="1"/>
        <v>751.39362375000007</v>
      </c>
      <c r="U15" s="19">
        <v>2899.8908275200001</v>
      </c>
      <c r="V15" s="21">
        <f>2583</f>
        <v>2583</v>
      </c>
      <c r="W15" s="22">
        <f>2833.34</f>
        <v>2833.34</v>
      </c>
      <c r="X15" s="22"/>
      <c r="Y15" s="22"/>
      <c r="Z15" s="22"/>
      <c r="AA15" s="16">
        <f t="shared" si="2"/>
        <v>9926.3600212700003</v>
      </c>
      <c r="AB15" s="17">
        <f t="shared" si="3"/>
        <v>16806.860553729999</v>
      </c>
    </row>
    <row r="16" spans="2:28" x14ac:dyDescent="0.25">
      <c r="B16" s="7" t="s">
        <v>60</v>
      </c>
      <c r="C16" s="8" t="s">
        <v>33</v>
      </c>
      <c r="D16" s="9">
        <v>5</v>
      </c>
      <c r="E16" s="10">
        <f>10472.385*1.025</f>
        <v>10734.194625</v>
      </c>
      <c r="F16" s="12">
        <v>1100</v>
      </c>
      <c r="G16" s="12">
        <v>1133</v>
      </c>
      <c r="H16" s="12">
        <v>1140</v>
      </c>
      <c r="I16" s="12"/>
      <c r="J16" s="12">
        <v>1241.8</v>
      </c>
      <c r="K16" s="12">
        <f>632+100</f>
        <v>732</v>
      </c>
      <c r="L16" s="12"/>
      <c r="M16" s="19">
        <v>713</v>
      </c>
      <c r="N16" s="20">
        <f t="shared" si="7"/>
        <v>1431.22595</v>
      </c>
      <c r="O16" s="20">
        <v>7983</v>
      </c>
      <c r="P16" s="14">
        <f t="shared" si="0"/>
        <v>26208.220574999999</v>
      </c>
      <c r="Q16" s="19">
        <f t="shared" si="6"/>
        <v>107.34194625000001</v>
      </c>
      <c r="R16" s="19">
        <f>500</f>
        <v>500</v>
      </c>
      <c r="S16" s="19">
        <f t="shared" si="5"/>
        <v>751.39362375000007</v>
      </c>
      <c r="T16" s="11">
        <f t="shared" si="1"/>
        <v>751.39362375000007</v>
      </c>
      <c r="U16" s="19">
        <v>2776.4108275200001</v>
      </c>
      <c r="V16" s="21"/>
      <c r="W16" s="22"/>
      <c r="X16" s="22"/>
      <c r="Y16" s="22"/>
      <c r="Z16" s="22"/>
      <c r="AA16" s="16">
        <f t="shared" si="2"/>
        <v>4886.5400212700006</v>
      </c>
      <c r="AB16" s="17">
        <f t="shared" si="3"/>
        <v>21321.680553729999</v>
      </c>
    </row>
    <row r="17" spans="2:28" x14ac:dyDescent="0.25">
      <c r="B17" s="7" t="s">
        <v>60</v>
      </c>
      <c r="C17" s="8" t="s">
        <v>34</v>
      </c>
      <c r="D17" s="9">
        <v>4</v>
      </c>
      <c r="E17" s="10">
        <f>9192.729*1.025</f>
        <v>9422.5472249999984</v>
      </c>
      <c r="F17" s="12">
        <v>1100</v>
      </c>
      <c r="G17" s="12">
        <v>1133</v>
      </c>
      <c r="H17" s="12">
        <v>1140</v>
      </c>
      <c r="I17" s="12"/>
      <c r="J17" s="12">
        <v>845.6</v>
      </c>
      <c r="K17" s="12">
        <f>615+100</f>
        <v>715</v>
      </c>
      <c r="L17" s="12"/>
      <c r="M17" s="19">
        <v>644</v>
      </c>
      <c r="N17" s="20">
        <f t="shared" si="7"/>
        <v>1256.3396299999997</v>
      </c>
      <c r="O17" s="20">
        <v>7983</v>
      </c>
      <c r="P17" s="14">
        <f t="shared" si="0"/>
        <v>24239.486854999999</v>
      </c>
      <c r="Q17" s="19">
        <f t="shared" si="6"/>
        <v>94.225472249999981</v>
      </c>
      <c r="R17" s="19"/>
      <c r="S17" s="19">
        <f t="shared" si="5"/>
        <v>659.57830574999991</v>
      </c>
      <c r="T17" s="11">
        <f t="shared" si="1"/>
        <v>659.57830574999991</v>
      </c>
      <c r="U17" s="19">
        <v>2400.8703437439995</v>
      </c>
      <c r="V17" s="21"/>
      <c r="W17" s="22"/>
      <c r="X17" s="22"/>
      <c r="Y17" s="22"/>
      <c r="Z17" s="22"/>
      <c r="AA17" s="16">
        <f t="shared" si="2"/>
        <v>3814.2524274939992</v>
      </c>
      <c r="AB17" s="17">
        <f t="shared" si="3"/>
        <v>20425.234427505999</v>
      </c>
    </row>
    <row r="18" spans="2:28" x14ac:dyDescent="0.25">
      <c r="B18" s="7" t="s">
        <v>60</v>
      </c>
      <c r="C18" s="8" t="s">
        <v>35</v>
      </c>
      <c r="D18" s="9">
        <v>4</v>
      </c>
      <c r="E18" s="10">
        <f>9192.729*1.025</f>
        <v>9422.5472249999984</v>
      </c>
      <c r="F18" s="12">
        <v>1100</v>
      </c>
      <c r="G18" s="12">
        <v>1133</v>
      </c>
      <c r="H18" s="12">
        <v>1140</v>
      </c>
      <c r="I18" s="12"/>
      <c r="J18" s="12">
        <v>845.6</v>
      </c>
      <c r="K18" s="12">
        <f>615+100</f>
        <v>715</v>
      </c>
      <c r="L18" s="12"/>
      <c r="M18" s="19">
        <v>644</v>
      </c>
      <c r="N18" s="20">
        <f t="shared" si="7"/>
        <v>1256.3396299999997</v>
      </c>
      <c r="O18" s="20">
        <v>7983</v>
      </c>
      <c r="P18" s="14">
        <f t="shared" si="0"/>
        <v>24239.486854999999</v>
      </c>
      <c r="Q18" s="19">
        <f t="shared" si="6"/>
        <v>94.225472249999981</v>
      </c>
      <c r="R18" s="19">
        <f>500</f>
        <v>500</v>
      </c>
      <c r="S18" s="19">
        <f t="shared" si="5"/>
        <v>659.57830574999991</v>
      </c>
      <c r="T18" s="11">
        <f t="shared" si="1"/>
        <v>659.57830574999991</v>
      </c>
      <c r="U18" s="19">
        <v>2400.8703437439995</v>
      </c>
      <c r="V18" s="21"/>
      <c r="W18" s="22"/>
      <c r="X18" s="22"/>
      <c r="Y18" s="22"/>
      <c r="Z18" s="22"/>
      <c r="AA18" s="16">
        <f t="shared" si="2"/>
        <v>4314.2524274939988</v>
      </c>
      <c r="AB18" s="17">
        <f t="shared" si="3"/>
        <v>19925.234427506002</v>
      </c>
    </row>
    <row r="19" spans="2:28" x14ac:dyDescent="0.25">
      <c r="B19" s="7" t="s">
        <v>60</v>
      </c>
      <c r="C19" s="8" t="s">
        <v>36</v>
      </c>
      <c r="D19" s="9">
        <v>2</v>
      </c>
      <c r="E19" s="10">
        <f>7675.6365*1.025</f>
        <v>7867.5274124999987</v>
      </c>
      <c r="F19" s="12">
        <v>1100</v>
      </c>
      <c r="G19" s="12">
        <v>1133</v>
      </c>
      <c r="H19" s="12">
        <v>1140</v>
      </c>
      <c r="I19" s="12"/>
      <c r="J19" s="12">
        <v>704.2</v>
      </c>
      <c r="K19" s="12">
        <f>595+100</f>
        <v>695</v>
      </c>
      <c r="L19" s="12"/>
      <c r="M19" s="19">
        <v>561</v>
      </c>
      <c r="N19" s="20">
        <f t="shared" si="7"/>
        <v>1049.0036549999998</v>
      </c>
      <c r="O19" s="20">
        <v>7983</v>
      </c>
      <c r="P19" s="14">
        <f t="shared" si="0"/>
        <v>22232.731067500001</v>
      </c>
      <c r="Q19" s="19">
        <f t="shared" si="6"/>
        <v>78.675274124999987</v>
      </c>
      <c r="R19" s="19">
        <f>1000</f>
        <v>1000</v>
      </c>
      <c r="S19" s="19">
        <f t="shared" si="5"/>
        <v>550.72691887499991</v>
      </c>
      <c r="T19" s="11">
        <f t="shared" si="1"/>
        <v>550.72691887499991</v>
      </c>
      <c r="U19" s="19">
        <v>2020.4727096639999</v>
      </c>
      <c r="V19" s="21"/>
      <c r="W19" s="22"/>
      <c r="X19" s="22"/>
      <c r="Y19" s="22"/>
      <c r="Z19" s="22"/>
      <c r="AA19" s="16">
        <f t="shared" si="2"/>
        <v>4200.6018215389995</v>
      </c>
      <c r="AB19" s="17">
        <f t="shared" si="3"/>
        <v>18032.129245961001</v>
      </c>
    </row>
    <row r="20" spans="2:28" x14ac:dyDescent="0.25">
      <c r="B20" s="7" t="s">
        <v>60</v>
      </c>
      <c r="C20" s="8" t="s">
        <v>37</v>
      </c>
      <c r="D20" s="9">
        <v>2</v>
      </c>
      <c r="E20" s="10">
        <f>7675.6365*1.025</f>
        <v>7867.5274124999987</v>
      </c>
      <c r="F20" s="12">
        <v>1100</v>
      </c>
      <c r="G20" s="12">
        <v>1133</v>
      </c>
      <c r="H20" s="12">
        <v>1140</v>
      </c>
      <c r="I20" s="12"/>
      <c r="J20" s="12">
        <v>704.2</v>
      </c>
      <c r="K20" s="12">
        <f>595+100</f>
        <v>695</v>
      </c>
      <c r="L20" s="12"/>
      <c r="M20" s="19">
        <v>561</v>
      </c>
      <c r="N20" s="20">
        <f t="shared" si="7"/>
        <v>1049.0036549999998</v>
      </c>
      <c r="O20" s="20">
        <v>7983</v>
      </c>
      <c r="P20" s="14">
        <f t="shared" si="0"/>
        <v>22232.731067500001</v>
      </c>
      <c r="Q20" s="19">
        <f t="shared" si="6"/>
        <v>78.675274124999987</v>
      </c>
      <c r="R20" s="19">
        <f>500</f>
        <v>500</v>
      </c>
      <c r="S20" s="19">
        <f t="shared" si="5"/>
        <v>550.72691887499991</v>
      </c>
      <c r="T20" s="11">
        <f t="shared" si="1"/>
        <v>550.72691887499991</v>
      </c>
      <c r="U20" s="19">
        <v>2020.4727096639999</v>
      </c>
      <c r="V20" s="21"/>
      <c r="W20" s="22"/>
      <c r="X20" s="22"/>
      <c r="Y20" s="22">
        <v>966.64</v>
      </c>
      <c r="Z20" s="22">
        <v>1325</v>
      </c>
      <c r="AA20" s="16">
        <f t="shared" si="2"/>
        <v>5992.2418215389998</v>
      </c>
      <c r="AB20" s="17">
        <f t="shared" si="3"/>
        <v>16240.489245961002</v>
      </c>
    </row>
    <row r="21" spans="2:28" ht="22.5" x14ac:dyDescent="0.25">
      <c r="B21" s="7" t="s">
        <v>60</v>
      </c>
      <c r="C21" s="8" t="s">
        <v>38</v>
      </c>
      <c r="D21" s="9"/>
      <c r="E21" s="10">
        <f>7204.1865*1.025</f>
        <v>7384.2911624999988</v>
      </c>
      <c r="F21" s="12">
        <v>1100</v>
      </c>
      <c r="G21" s="12">
        <v>1133</v>
      </c>
      <c r="H21" s="12">
        <v>1140</v>
      </c>
      <c r="I21" s="12"/>
      <c r="J21" s="12">
        <v>658</v>
      </c>
      <c r="K21" s="12">
        <f>589+100</f>
        <v>689</v>
      </c>
      <c r="L21" s="12"/>
      <c r="M21" s="19">
        <v>536</v>
      </c>
      <c r="N21" s="20">
        <f t="shared" si="7"/>
        <v>984.57215499999984</v>
      </c>
      <c r="O21" s="20">
        <v>7983</v>
      </c>
      <c r="P21" s="14">
        <f t="shared" si="0"/>
        <v>21607.8633175</v>
      </c>
      <c r="Q21" s="19">
        <f t="shared" si="6"/>
        <v>73.842911624999985</v>
      </c>
      <c r="R21" s="19">
        <f>500</f>
        <v>500</v>
      </c>
      <c r="S21" s="19">
        <f t="shared" si="5"/>
        <v>516.90038137499994</v>
      </c>
      <c r="T21" s="11">
        <f t="shared" si="1"/>
        <v>516.90038137499994</v>
      </c>
      <c r="U21" s="19">
        <v>1902.1272024639998</v>
      </c>
      <c r="V21" s="21"/>
      <c r="W21" s="22"/>
      <c r="X21" s="22"/>
      <c r="Y21" s="22"/>
      <c r="Z21" s="22"/>
      <c r="AA21" s="16">
        <f t="shared" si="2"/>
        <v>3509.7708768389998</v>
      </c>
      <c r="AB21" s="17">
        <f t="shared" si="3"/>
        <v>18098.092440660999</v>
      </c>
    </row>
    <row r="22" spans="2:28" ht="22.5" x14ac:dyDescent="0.25">
      <c r="B22" s="7" t="s">
        <v>60</v>
      </c>
      <c r="C22" s="8" t="s">
        <v>39</v>
      </c>
      <c r="D22" s="9">
        <v>1</v>
      </c>
      <c r="E22" s="10">
        <f>7204.1865*1.025</f>
        <v>7384.2911624999988</v>
      </c>
      <c r="F22" s="12">
        <v>1100</v>
      </c>
      <c r="G22" s="12">
        <v>1133</v>
      </c>
      <c r="H22" s="12">
        <v>1140</v>
      </c>
      <c r="I22" s="12"/>
      <c r="J22" s="12">
        <v>658</v>
      </c>
      <c r="K22" s="12">
        <f>589+100</f>
        <v>689</v>
      </c>
      <c r="L22" s="12"/>
      <c r="M22" s="19">
        <v>536</v>
      </c>
      <c r="N22" s="20">
        <f t="shared" si="7"/>
        <v>984.57215499999984</v>
      </c>
      <c r="O22" s="20">
        <v>7983</v>
      </c>
      <c r="P22" s="14">
        <f t="shared" si="0"/>
        <v>21607.8633175</v>
      </c>
      <c r="Q22" s="19"/>
      <c r="R22" s="19"/>
      <c r="S22" s="19">
        <f t="shared" si="5"/>
        <v>516.90038137499994</v>
      </c>
      <c r="T22" s="11">
        <f t="shared" si="1"/>
        <v>516.90038137499994</v>
      </c>
      <c r="U22" s="19">
        <v>1902.1272024639998</v>
      </c>
      <c r="V22" s="21"/>
      <c r="W22" s="22"/>
      <c r="X22" s="22">
        <v>1702.93</v>
      </c>
      <c r="Y22" s="22"/>
      <c r="Z22" s="22"/>
      <c r="AA22" s="16">
        <f t="shared" si="2"/>
        <v>4638.8579652139997</v>
      </c>
      <c r="AB22" s="17">
        <f t="shared" si="3"/>
        <v>16969.005352286</v>
      </c>
    </row>
    <row r="23" spans="2:28" ht="22.5" x14ac:dyDescent="0.25">
      <c r="B23" s="7" t="s">
        <v>61</v>
      </c>
      <c r="C23" s="8" t="s">
        <v>40</v>
      </c>
      <c r="D23" s="9"/>
      <c r="E23" s="10">
        <f>6069.96</f>
        <v>6069.96</v>
      </c>
      <c r="F23" s="25"/>
      <c r="G23" s="25"/>
      <c r="H23" s="25"/>
      <c r="I23" s="25"/>
      <c r="J23" s="26"/>
      <c r="K23" s="26"/>
      <c r="L23" s="25"/>
      <c r="M23" s="26"/>
      <c r="N23" s="27"/>
      <c r="O23" s="27"/>
      <c r="P23" s="14">
        <f t="shared" si="0"/>
        <v>6069.96</v>
      </c>
      <c r="Q23" s="19"/>
      <c r="R23" s="26"/>
      <c r="S23" s="26"/>
      <c r="T23" s="11"/>
      <c r="U23" s="19">
        <v>527.76699999999994</v>
      </c>
      <c r="V23" s="21"/>
      <c r="W23" s="22"/>
      <c r="X23" s="22"/>
      <c r="Y23" s="22"/>
      <c r="Z23" s="22"/>
      <c r="AA23" s="16">
        <f t="shared" si="2"/>
        <v>527.76699999999994</v>
      </c>
      <c r="AB23" s="17">
        <f t="shared" si="3"/>
        <v>5542.1930000000002</v>
      </c>
    </row>
    <row r="24" spans="2:28" x14ac:dyDescent="0.25">
      <c r="B24" s="7" t="s">
        <v>61</v>
      </c>
      <c r="C24" s="23" t="s">
        <v>41</v>
      </c>
      <c r="D24" s="29"/>
      <c r="E24" s="30">
        <f>3018.5</f>
        <v>3018.5</v>
      </c>
      <c r="F24" s="25"/>
      <c r="G24" s="25"/>
      <c r="H24" s="25"/>
      <c r="I24" s="25"/>
      <c r="J24" s="26"/>
      <c r="K24" s="26"/>
      <c r="L24" s="25"/>
      <c r="M24" s="26"/>
      <c r="N24" s="26"/>
      <c r="O24" s="27"/>
      <c r="P24" s="14">
        <f t="shared" si="0"/>
        <v>3018.5</v>
      </c>
      <c r="Q24" s="19"/>
      <c r="R24" s="26"/>
      <c r="S24" s="26"/>
      <c r="T24" s="11"/>
      <c r="U24" s="19">
        <v>176.47039999999998</v>
      </c>
      <c r="V24" s="21"/>
      <c r="W24" s="22"/>
      <c r="X24" s="22"/>
      <c r="Y24" s="22"/>
      <c r="Z24" s="22"/>
      <c r="AA24" s="16">
        <f t="shared" si="2"/>
        <v>176.47039999999998</v>
      </c>
      <c r="AB24" s="17">
        <f t="shared" si="3"/>
        <v>2842.0295999999998</v>
      </c>
    </row>
    <row r="25" spans="2:28" ht="15.75" thickBot="1" x14ac:dyDescent="0.3">
      <c r="B25" s="31" t="s">
        <v>42</v>
      </c>
      <c r="C25" s="32"/>
      <c r="D25" s="33"/>
      <c r="E25" s="34">
        <f t="shared" ref="E25:AB25" si="8">SUM(E4:E24)</f>
        <v>238122.87256449627</v>
      </c>
      <c r="F25" s="34">
        <f t="shared" si="8"/>
        <v>17400</v>
      </c>
      <c r="G25" s="34">
        <f t="shared" si="8"/>
        <v>17196</v>
      </c>
      <c r="H25" s="34">
        <f t="shared" si="8"/>
        <v>17280</v>
      </c>
      <c r="I25" s="34">
        <f t="shared" si="8"/>
        <v>12200</v>
      </c>
      <c r="J25" s="34">
        <f t="shared" si="8"/>
        <v>25470.2</v>
      </c>
      <c r="K25" s="34">
        <f t="shared" si="8"/>
        <v>11587</v>
      </c>
      <c r="L25" s="34">
        <f t="shared" si="8"/>
        <v>1075</v>
      </c>
      <c r="M25" s="34">
        <f t="shared" si="8"/>
        <v>8277</v>
      </c>
      <c r="N25" s="34">
        <f t="shared" si="8"/>
        <v>23988.360341932836</v>
      </c>
      <c r="O25" s="34">
        <f t="shared" si="8"/>
        <v>121796</v>
      </c>
      <c r="P25" s="34">
        <f t="shared" si="8"/>
        <v>494392.43290642917</v>
      </c>
      <c r="Q25" s="34">
        <f t="shared" si="8"/>
        <v>1010.0716027499998</v>
      </c>
      <c r="R25" s="34">
        <f t="shared" si="8"/>
        <v>4000</v>
      </c>
      <c r="S25" s="34">
        <f t="shared" si="8"/>
        <v>8645.9360795147404</v>
      </c>
      <c r="T25" s="34">
        <f t="shared" si="8"/>
        <v>16032.408879514742</v>
      </c>
      <c r="U25" s="34">
        <f t="shared" si="8"/>
        <v>56816.247475316814</v>
      </c>
      <c r="V25" s="34">
        <f t="shared" si="8"/>
        <v>2583</v>
      </c>
      <c r="W25" s="34">
        <f t="shared" si="8"/>
        <v>2833.34</v>
      </c>
      <c r="X25" s="34">
        <f t="shared" si="8"/>
        <v>3800.1000000000004</v>
      </c>
      <c r="Y25" s="34">
        <f t="shared" si="8"/>
        <v>1933.28</v>
      </c>
      <c r="Z25" s="34">
        <f t="shared" si="8"/>
        <v>1325</v>
      </c>
      <c r="AA25" s="34">
        <f t="shared" si="8"/>
        <v>98979.384037096315</v>
      </c>
      <c r="AB25" s="34">
        <f t="shared" si="8"/>
        <v>395413.04886933282</v>
      </c>
    </row>
    <row r="26" spans="2:28" x14ac:dyDescent="0.25"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30" spans="2:28" x14ac:dyDescent="0.25">
      <c r="B30" t="s">
        <v>58</v>
      </c>
      <c r="C30" t="s">
        <v>54</v>
      </c>
    </row>
    <row r="31" spans="2:28" x14ac:dyDescent="0.25">
      <c r="B31" t="s">
        <v>59</v>
      </c>
      <c r="C31" t="s">
        <v>55</v>
      </c>
    </row>
    <row r="32" spans="2:28" x14ac:dyDescent="0.25">
      <c r="B32" t="s">
        <v>60</v>
      </c>
      <c r="C32" t="s">
        <v>62</v>
      </c>
    </row>
    <row r="33" spans="2:3" x14ac:dyDescent="0.25">
      <c r="B33" t="s">
        <v>61</v>
      </c>
      <c r="C33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workbookViewId="0">
      <selection activeCell="O15" sqref="O15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8" width="9.28515625" customWidth="1"/>
    <col min="9" max="9" width="10" bestFit="1" customWidth="1"/>
    <col min="10" max="12" width="9.28515625" customWidth="1"/>
    <col min="13" max="13" width="12.5703125" bestFit="1" customWidth="1"/>
    <col min="14" max="14" width="14.140625" bestFit="1" customWidth="1"/>
    <col min="15" max="15" width="9.5703125" customWidth="1"/>
    <col min="16" max="16" width="7.85546875" customWidth="1"/>
    <col min="17" max="17" width="9.85546875" bestFit="1" customWidth="1"/>
    <col min="18" max="18" width="9.5703125" customWidth="1"/>
    <col min="19" max="19" width="14.140625" bestFit="1" customWidth="1"/>
  </cols>
  <sheetData>
    <row r="1" spans="2:19" ht="15.75" customHeight="1" x14ac:dyDescent="0.25">
      <c r="E1" s="1"/>
      <c r="F1" s="56"/>
      <c r="G1" s="56"/>
      <c r="H1" s="56"/>
      <c r="I1" s="56"/>
      <c r="J1" s="56"/>
      <c r="K1" s="56"/>
      <c r="L1" s="56"/>
      <c r="M1" s="56"/>
      <c r="N1" s="56"/>
      <c r="Q1" s="57"/>
      <c r="R1" s="57"/>
      <c r="S1" s="57"/>
    </row>
    <row r="2" spans="2:19" ht="18.75" x14ac:dyDescent="0.25">
      <c r="E2" s="1"/>
      <c r="F2" s="2" t="s">
        <v>93</v>
      </c>
      <c r="G2" s="2"/>
      <c r="H2" s="2"/>
      <c r="I2" s="2"/>
      <c r="J2" s="2"/>
      <c r="K2" s="2"/>
      <c r="L2" s="2"/>
      <c r="M2" s="2"/>
      <c r="N2" s="2"/>
    </row>
    <row r="3" spans="2:19" ht="16.5" thickBot="1" x14ac:dyDescent="0.3">
      <c r="E3" s="1"/>
      <c r="F3" s="1"/>
      <c r="G3" s="1"/>
      <c r="H3" s="1"/>
      <c r="I3" s="1"/>
      <c r="J3" s="1"/>
      <c r="K3" s="1"/>
      <c r="L3" s="1"/>
      <c r="M3" s="1"/>
    </row>
    <row r="4" spans="2:19" ht="48.75" customHeight="1" x14ac:dyDescent="0.25">
      <c r="B4" s="40"/>
      <c r="C4" s="40"/>
      <c r="D4" s="3" t="s">
        <v>1</v>
      </c>
      <c r="E4" s="44" t="s">
        <v>2</v>
      </c>
      <c r="F4" s="45" t="s">
        <v>66</v>
      </c>
      <c r="G4" s="45"/>
      <c r="H4" s="45"/>
      <c r="I4" s="45" t="s">
        <v>75</v>
      </c>
      <c r="J4" s="45" t="s">
        <v>76</v>
      </c>
      <c r="K4" s="45" t="s">
        <v>56</v>
      </c>
      <c r="L4" s="45" t="s">
        <v>57</v>
      </c>
      <c r="M4" s="46" t="s">
        <v>77</v>
      </c>
      <c r="N4" s="41"/>
      <c r="O4" s="4" t="s">
        <v>17</v>
      </c>
      <c r="P4" s="5" t="s">
        <v>18</v>
      </c>
      <c r="Q4" s="6" t="s">
        <v>64</v>
      </c>
      <c r="R4" s="42"/>
      <c r="S4" s="43"/>
    </row>
    <row r="5" spans="2:19" x14ac:dyDescent="0.25">
      <c r="B5" s="7" t="s">
        <v>58</v>
      </c>
      <c r="C5" s="8" t="s">
        <v>21</v>
      </c>
      <c r="D5" s="9">
        <v>17</v>
      </c>
      <c r="E5" s="10">
        <f>38573.38/2</f>
        <v>19286.689999999999</v>
      </c>
      <c r="F5" s="12">
        <f>E5*2</f>
        <v>38573.379999999997</v>
      </c>
      <c r="G5" s="12">
        <f>+E5</f>
        <v>19286.689999999999</v>
      </c>
      <c r="H5" s="12">
        <f>+F5</f>
        <v>38573.379999999997</v>
      </c>
      <c r="I5" s="11">
        <f>((F5/30)*70)-J5</f>
        <v>86892.353333333318</v>
      </c>
      <c r="J5" s="12">
        <v>3112.2</v>
      </c>
      <c r="K5" s="11">
        <f>((F5/30)*10)-L5</f>
        <v>12079.743333333332</v>
      </c>
      <c r="L5" s="11">
        <v>778.05</v>
      </c>
      <c r="M5" s="11">
        <f>+'[1]CON PRESTACIONES GRAVADAS'!$C$73</f>
        <v>23278.237136</v>
      </c>
      <c r="N5" s="14">
        <f>SUM(I5:M5)</f>
        <v>126140.58380266665</v>
      </c>
      <c r="O5" s="11">
        <f>+'[1]CON PRESTACIONES GRAVADAS'!$C$73</f>
        <v>23278.237136</v>
      </c>
      <c r="P5" s="15"/>
      <c r="Q5" s="16"/>
      <c r="R5" s="16">
        <f t="shared" ref="R5:R25" si="0">SUM(O5:Q5)</f>
        <v>23278.237136</v>
      </c>
      <c r="S5" s="17">
        <f t="shared" ref="S5:S25" si="1">+N5-R5</f>
        <v>102862.34666666665</v>
      </c>
    </row>
    <row r="6" spans="2:19" x14ac:dyDescent="0.25">
      <c r="B6" s="7" t="s">
        <v>58</v>
      </c>
      <c r="C6" s="8" t="s">
        <v>22</v>
      </c>
      <c r="D6" s="9">
        <v>14</v>
      </c>
      <c r="E6" s="10">
        <f>14917.51</f>
        <v>14917.51</v>
      </c>
      <c r="F6" s="12">
        <f t="shared" ref="F6:F25" si="2">E6*2</f>
        <v>29835.02</v>
      </c>
      <c r="G6" s="12">
        <f t="shared" ref="G6:H7" si="3">+E6</f>
        <v>14917.51</v>
      </c>
      <c r="H6" s="12">
        <f t="shared" si="3"/>
        <v>29835.02</v>
      </c>
      <c r="I6" s="11">
        <f>((F6/30)*70)-J6</f>
        <v>66502.846666666665</v>
      </c>
      <c r="J6" s="12">
        <v>3112.2</v>
      </c>
      <c r="K6" s="11">
        <f>((F6/30)*10)-L6</f>
        <v>9166.9566666666669</v>
      </c>
      <c r="L6" s="11">
        <v>778.05</v>
      </c>
      <c r="M6" s="11">
        <f>+'[1]CON PRESTACIONES GRAVADAS'!$D$73</f>
        <v>17589.638518211425</v>
      </c>
      <c r="N6" s="14">
        <f t="shared" ref="N6:N25" si="4">SUM(I6:M6)</f>
        <v>97149.691851544747</v>
      </c>
      <c r="O6" s="11">
        <f>+'[1]CON PRESTACIONES GRAVADAS'!$D$73</f>
        <v>17589.638518211425</v>
      </c>
      <c r="P6" s="21"/>
      <c r="Q6" s="22"/>
      <c r="R6" s="16">
        <f t="shared" si="0"/>
        <v>17589.638518211425</v>
      </c>
      <c r="S6" s="17">
        <f t="shared" si="1"/>
        <v>79560.053333333315</v>
      </c>
    </row>
    <row r="7" spans="2:19" x14ac:dyDescent="0.25">
      <c r="B7" s="7" t="s">
        <v>58</v>
      </c>
      <c r="C7" s="8" t="s">
        <v>23</v>
      </c>
      <c r="D7" s="9">
        <v>14</v>
      </c>
      <c r="E7" s="10">
        <f>14917.51</f>
        <v>14917.51</v>
      </c>
      <c r="F7" s="12">
        <f t="shared" si="2"/>
        <v>29835.02</v>
      </c>
      <c r="G7" s="12">
        <f t="shared" si="3"/>
        <v>14917.51</v>
      </c>
      <c r="H7" s="12">
        <f t="shared" si="3"/>
        <v>29835.02</v>
      </c>
      <c r="I7" s="11">
        <f>((F7/30)*70)-J7</f>
        <v>66502.846666666665</v>
      </c>
      <c r="J7" s="12">
        <v>3112.2</v>
      </c>
      <c r="K7" s="11">
        <f>((F7/30)*10)-L7</f>
        <v>9166.9566666666669</v>
      </c>
      <c r="L7" s="11">
        <v>778.05</v>
      </c>
      <c r="M7" s="11">
        <f>+'[1]CON PRESTACIONES GRAVADAS'!$E$73</f>
        <v>17589.638518211425</v>
      </c>
      <c r="N7" s="14">
        <f t="shared" si="4"/>
        <v>97149.691851544747</v>
      </c>
      <c r="O7" s="11">
        <f>+'[1]CON PRESTACIONES GRAVADAS'!$E$73</f>
        <v>17589.638518211425</v>
      </c>
      <c r="P7" s="21"/>
      <c r="Q7" s="22"/>
      <c r="R7" s="16">
        <f t="shared" si="0"/>
        <v>17589.638518211425</v>
      </c>
      <c r="S7" s="17">
        <f t="shared" si="1"/>
        <v>79560.053333333315</v>
      </c>
    </row>
    <row r="8" spans="2:19" x14ac:dyDescent="0.25">
      <c r="B8" s="7" t="s">
        <v>59</v>
      </c>
      <c r="C8" s="8" t="s">
        <v>24</v>
      </c>
      <c r="D8" s="9">
        <v>13</v>
      </c>
      <c r="E8" s="10">
        <f>15022.1</f>
        <v>15022.1</v>
      </c>
      <c r="F8" s="12">
        <f t="shared" si="2"/>
        <v>30044.2</v>
      </c>
      <c r="G8" s="12">
        <f>+E8</f>
        <v>15022.1</v>
      </c>
      <c r="H8" s="12">
        <f>+G8*2</f>
        <v>30044.2</v>
      </c>
      <c r="I8" s="11">
        <f t="shared" ref="I8:I24" si="5">((F8/30)*70)-J8</f>
        <v>66990.933333333334</v>
      </c>
      <c r="J8" s="12">
        <v>3112.2</v>
      </c>
      <c r="K8" s="11">
        <f t="shared" ref="K8:K24" si="6">((F8/30)*10)-L8</f>
        <v>9236.6833333333343</v>
      </c>
      <c r="L8" s="11">
        <v>778.05</v>
      </c>
      <c r="M8" s="11">
        <f>+'[1]CON PRESTACIONES GRAVADAS'!$H$73</f>
        <v>22868.281564799981</v>
      </c>
      <c r="N8" s="14">
        <f t="shared" si="4"/>
        <v>102986.14823146665</v>
      </c>
      <c r="O8" s="11">
        <f>+'[1]CON PRESTACIONES GRAVADAS'!$H$73</f>
        <v>22868.281564799981</v>
      </c>
      <c r="P8" s="21"/>
      <c r="Q8" s="22"/>
      <c r="R8" s="16">
        <f t="shared" si="0"/>
        <v>22868.281564799981</v>
      </c>
      <c r="S8" s="17">
        <f t="shared" si="1"/>
        <v>80117.866666666669</v>
      </c>
    </row>
    <row r="9" spans="2:19" ht="15" customHeight="1" x14ac:dyDescent="0.25">
      <c r="B9" s="7" t="s">
        <v>59</v>
      </c>
      <c r="C9" s="8" t="s">
        <v>25</v>
      </c>
      <c r="D9" s="9">
        <v>13</v>
      </c>
      <c r="E9" s="10">
        <f>15022.1</f>
        <v>15022.1</v>
      </c>
      <c r="F9" s="12">
        <f t="shared" si="2"/>
        <v>30044.2</v>
      </c>
      <c r="G9" s="12">
        <f t="shared" ref="G9:G11" si="7">+E9</f>
        <v>15022.1</v>
      </c>
      <c r="H9" s="12">
        <f t="shared" ref="H9:H25" si="8">+G9*2</f>
        <v>30044.2</v>
      </c>
      <c r="I9" s="11">
        <f t="shared" si="5"/>
        <v>66990.933333333334</v>
      </c>
      <c r="J9" s="12">
        <v>3112.2</v>
      </c>
      <c r="K9" s="11">
        <f t="shared" si="6"/>
        <v>9236.6833333333343</v>
      </c>
      <c r="L9" s="11">
        <v>778.05</v>
      </c>
      <c r="M9" s="11">
        <f>+'[1]CON PRESTACIONES GRAVADAS'!$I$73</f>
        <v>22868.281564799981</v>
      </c>
      <c r="N9" s="14">
        <f t="shared" si="4"/>
        <v>102986.14823146665</v>
      </c>
      <c r="O9" s="11">
        <f>+'[1]CON PRESTACIONES GRAVADAS'!$I$73</f>
        <v>22868.281564799981</v>
      </c>
      <c r="P9" s="21"/>
      <c r="Q9" s="22"/>
      <c r="R9" s="16">
        <f t="shared" si="0"/>
        <v>22868.281564799981</v>
      </c>
      <c r="S9" s="17">
        <f t="shared" si="1"/>
        <v>80117.866666666669</v>
      </c>
    </row>
    <row r="10" spans="2:19" ht="15" customHeight="1" x14ac:dyDescent="0.25">
      <c r="B10" s="7" t="s">
        <v>59</v>
      </c>
      <c r="C10" s="8" t="s">
        <v>26</v>
      </c>
      <c r="D10" s="9">
        <v>13</v>
      </c>
      <c r="E10" s="10">
        <f>15022.1</f>
        <v>15022.1</v>
      </c>
      <c r="F10" s="12">
        <f t="shared" si="2"/>
        <v>30044.2</v>
      </c>
      <c r="G10" s="12">
        <f t="shared" si="7"/>
        <v>15022.1</v>
      </c>
      <c r="H10" s="12">
        <f t="shared" si="8"/>
        <v>30044.2</v>
      </c>
      <c r="I10" s="11">
        <f t="shared" si="5"/>
        <v>66990.933333333334</v>
      </c>
      <c r="J10" s="12">
        <v>3112.2</v>
      </c>
      <c r="K10" s="11">
        <f t="shared" si="6"/>
        <v>9236.6833333333343</v>
      </c>
      <c r="L10" s="11">
        <v>778.05</v>
      </c>
      <c r="M10" s="11">
        <f>+'[1]CON PRESTACIONES GRAVADAS'!$J$73</f>
        <v>22868.284999999993</v>
      </c>
      <c r="N10" s="14">
        <f t="shared" si="4"/>
        <v>102986.15166666666</v>
      </c>
      <c r="O10" s="11">
        <f>+'[1]CON PRESTACIONES GRAVADAS'!$J$73</f>
        <v>22868.284999999993</v>
      </c>
      <c r="P10" s="21"/>
      <c r="Q10" s="22"/>
      <c r="R10" s="16">
        <f t="shared" si="0"/>
        <v>22868.284999999993</v>
      </c>
      <c r="S10" s="17">
        <f t="shared" si="1"/>
        <v>80117.866666666669</v>
      </c>
    </row>
    <row r="11" spans="2:19" ht="15" customHeight="1" x14ac:dyDescent="0.25">
      <c r="B11" s="7" t="s">
        <v>59</v>
      </c>
      <c r="C11" s="8" t="s">
        <v>27</v>
      </c>
      <c r="D11" s="9">
        <v>9</v>
      </c>
      <c r="E11" s="10">
        <f>11333.03</f>
        <v>11333.03</v>
      </c>
      <c r="F11" s="12">
        <f t="shared" si="2"/>
        <v>22666.06</v>
      </c>
      <c r="G11" s="12">
        <f t="shared" si="7"/>
        <v>11333.03</v>
      </c>
      <c r="H11" s="12">
        <f t="shared" si="8"/>
        <v>22666.06</v>
      </c>
      <c r="I11" s="11">
        <f t="shared" si="5"/>
        <v>49775.273333333338</v>
      </c>
      <c r="J11" s="12">
        <v>3112.2</v>
      </c>
      <c r="K11" s="11">
        <f t="shared" si="6"/>
        <v>6777.3033333333333</v>
      </c>
      <c r="L11" s="11">
        <v>778.05</v>
      </c>
      <c r="M11" s="11">
        <f>+'[1]CON PRESTACIONES GRAVADAS'!$K$73</f>
        <v>13301.16428712961</v>
      </c>
      <c r="N11" s="14">
        <f t="shared" si="4"/>
        <v>73743.990953796281</v>
      </c>
      <c r="O11" s="11">
        <f>+'[1]CON PRESTACIONES GRAVADAS'!$K$73</f>
        <v>13301.16428712961</v>
      </c>
      <c r="P11" s="21"/>
      <c r="Q11" s="22"/>
      <c r="R11" s="16">
        <f t="shared" si="0"/>
        <v>13301.16428712961</v>
      </c>
      <c r="S11" s="17">
        <f t="shared" si="1"/>
        <v>60442.826666666675</v>
      </c>
    </row>
    <row r="12" spans="2:19" ht="15" customHeight="1" x14ac:dyDescent="0.25">
      <c r="B12" s="7" t="s">
        <v>60</v>
      </c>
      <c r="C12" s="8" t="s">
        <v>78</v>
      </c>
      <c r="D12" s="9">
        <v>10</v>
      </c>
      <c r="E12" s="10">
        <f>14753.0937824354*1.025</f>
        <v>15121.921126996283</v>
      </c>
      <c r="F12" s="12">
        <f t="shared" si="2"/>
        <v>30243.842253992567</v>
      </c>
      <c r="G12" s="12">
        <f>+E12*1.02</f>
        <v>15424.35954953621</v>
      </c>
      <c r="H12" s="12">
        <f t="shared" si="8"/>
        <v>30848.719099072419</v>
      </c>
      <c r="I12" s="11">
        <f>(((F12/30)*5.84)+(H12/30)*64.16)-J12</f>
        <v>68750.395205326771</v>
      </c>
      <c r="J12" s="12">
        <v>3112.2</v>
      </c>
      <c r="K12" s="11">
        <f>((H12/30)*10)-L12</f>
        <v>9504.8563663574732</v>
      </c>
      <c r="L12" s="11">
        <v>778.05</v>
      </c>
      <c r="M12" s="11">
        <f>+'[1]CON PRESTACIONES GRAVADAS'!$L$73</f>
        <v>23470.40626399999</v>
      </c>
      <c r="N12" s="14">
        <f t="shared" si="4"/>
        <v>105615.90783568424</v>
      </c>
      <c r="O12" s="11">
        <f>+'[1]CON PRESTACIONES GRAVADAS'!$L$73</f>
        <v>23470.40626399999</v>
      </c>
      <c r="P12" s="21"/>
      <c r="Q12" s="22"/>
      <c r="R12" s="16">
        <f t="shared" si="0"/>
        <v>23470.40626399999</v>
      </c>
      <c r="S12" s="17">
        <f t="shared" si="1"/>
        <v>82145.501571684246</v>
      </c>
    </row>
    <row r="13" spans="2:19" ht="15" customHeight="1" x14ac:dyDescent="0.25">
      <c r="B13" s="7" t="s">
        <v>60</v>
      </c>
      <c r="C13" s="8" t="s">
        <v>29</v>
      </c>
      <c r="D13" s="9">
        <v>8</v>
      </c>
      <c r="E13" s="10">
        <f>12779.3925*1.025</f>
        <v>13098.877312499999</v>
      </c>
      <c r="F13" s="12">
        <f t="shared" si="2"/>
        <v>26197.754624999998</v>
      </c>
      <c r="G13" s="12">
        <f t="shared" ref="G13:G23" si="9">+E13*1.02</f>
        <v>13360.854858749999</v>
      </c>
      <c r="H13" s="12">
        <f t="shared" si="8"/>
        <v>26721.709717499998</v>
      </c>
      <c r="I13" s="11">
        <f>(((F13/30)*5.84)+(H13/30)*64.16)-J13</f>
        <v>59136.459416159996</v>
      </c>
      <c r="J13" s="12">
        <v>3112.2</v>
      </c>
      <c r="K13" s="11">
        <f t="shared" ref="K13:K23" si="10">((H13/30)*10)-L13</f>
        <v>8129.1865724999998</v>
      </c>
      <c r="L13" s="11">
        <v>778.05</v>
      </c>
      <c r="M13" s="11">
        <f>+'[1]CON PRESTACIONES GRAVADAS'!$N$73</f>
        <v>18613.118646028452</v>
      </c>
      <c r="N13" s="14">
        <f t="shared" si="4"/>
        <v>89769.014634688443</v>
      </c>
      <c r="O13" s="11">
        <f>+'[1]CON PRESTACIONES GRAVADAS'!$N$73</f>
        <v>18613.118646028452</v>
      </c>
      <c r="P13" s="21"/>
      <c r="Q13" s="22"/>
      <c r="R13" s="16">
        <f t="shared" si="0"/>
        <v>18613.118646028452</v>
      </c>
      <c r="S13" s="17">
        <f t="shared" si="1"/>
        <v>71155.895988659991</v>
      </c>
    </row>
    <row r="14" spans="2:19" ht="22.5" x14ac:dyDescent="0.25">
      <c r="B14" s="7" t="s">
        <v>60</v>
      </c>
      <c r="C14" s="23" t="s">
        <v>30</v>
      </c>
      <c r="D14" s="24">
        <v>7</v>
      </c>
      <c r="E14" s="10">
        <f>11939.2455*1.025</f>
        <v>12237.7266375</v>
      </c>
      <c r="F14" s="12">
        <f t="shared" si="2"/>
        <v>24475.453275</v>
      </c>
      <c r="G14" s="12">
        <f t="shared" si="9"/>
        <v>12482.481170250001</v>
      </c>
      <c r="H14" s="12">
        <f t="shared" si="8"/>
        <v>24964.962340500002</v>
      </c>
      <c r="I14" s="11">
        <f>(((F14/30)*5.84)+(H14/30)*62.8)-J14</f>
        <v>53912.342736980005</v>
      </c>
      <c r="J14" s="12">
        <v>3112.2</v>
      </c>
      <c r="K14" s="11">
        <f>((H14/30)*9.61)-L14</f>
        <v>7219.0596030735005</v>
      </c>
      <c r="L14" s="11">
        <v>778.05</v>
      </c>
      <c r="M14" s="11">
        <f>+'[1]CON PRESTACIONES GRAVADAS'!$O$73</f>
        <v>15028.169643273633</v>
      </c>
      <c r="N14" s="14">
        <f t="shared" si="4"/>
        <v>80049.821983327143</v>
      </c>
      <c r="O14" s="11">
        <f>+'[1]CON PRESTACIONES GRAVADAS'!$O$73</f>
        <v>15028.169643273633</v>
      </c>
      <c r="P14" s="22"/>
      <c r="Q14" s="54"/>
      <c r="R14" s="16">
        <f t="shared" si="0"/>
        <v>15028.169643273633</v>
      </c>
      <c r="S14" s="17">
        <f t="shared" si="1"/>
        <v>65021.652340053508</v>
      </c>
    </row>
    <row r="15" spans="2:19" x14ac:dyDescent="0.25">
      <c r="B15" s="7" t="s">
        <v>60</v>
      </c>
      <c r="C15" s="23" t="s">
        <v>31</v>
      </c>
      <c r="D15" s="24">
        <v>7</v>
      </c>
      <c r="E15" s="10">
        <f>11939.2455*1.025</f>
        <v>12237.7266375</v>
      </c>
      <c r="F15" s="12">
        <f t="shared" si="2"/>
        <v>24475.453275</v>
      </c>
      <c r="G15" s="12">
        <f t="shared" si="9"/>
        <v>12482.481170250001</v>
      </c>
      <c r="H15" s="12">
        <f t="shared" si="8"/>
        <v>24964.962340500002</v>
      </c>
      <c r="I15" s="11">
        <f t="shared" ref="I15:I23" si="11">(((F15/30)*5.84)+(H15/30)*64.16)-J15</f>
        <v>55044.087696416005</v>
      </c>
      <c r="J15" s="12">
        <v>3112.2</v>
      </c>
      <c r="K15" s="11">
        <f t="shared" si="10"/>
        <v>7543.6041135000005</v>
      </c>
      <c r="L15" s="11">
        <v>778.05</v>
      </c>
      <c r="M15" s="11">
        <f>+'[1]CON PRESTACIONES GRAVADAS'!$P$73</f>
        <v>17841.975294749442</v>
      </c>
      <c r="N15" s="14">
        <f t="shared" si="4"/>
        <v>84319.917104665452</v>
      </c>
      <c r="O15" s="11">
        <f>+'[1]CON PRESTACIONES GRAVADAS'!$P$73</f>
        <v>17841.975294749442</v>
      </c>
      <c r="P15" s="21"/>
      <c r="Q15" s="21"/>
      <c r="R15" s="16">
        <f t="shared" si="0"/>
        <v>17841.975294749442</v>
      </c>
      <c r="S15" s="17">
        <f t="shared" si="1"/>
        <v>66477.94180991601</v>
      </c>
    </row>
    <row r="16" spans="2:19" x14ac:dyDescent="0.25">
      <c r="B16" s="7" t="s">
        <v>60</v>
      </c>
      <c r="C16" s="8" t="s">
        <v>32</v>
      </c>
      <c r="D16" s="9">
        <v>5</v>
      </c>
      <c r="E16" s="10">
        <f>10472.385*1.025</f>
        <v>10734.194625</v>
      </c>
      <c r="F16" s="12">
        <f t="shared" si="2"/>
        <v>21468.38925</v>
      </c>
      <c r="G16" s="12">
        <f t="shared" si="9"/>
        <v>10948.878517500001</v>
      </c>
      <c r="H16" s="12">
        <f t="shared" si="8"/>
        <v>21897.757035000002</v>
      </c>
      <c r="I16" s="11">
        <f t="shared" si="11"/>
        <v>47898.98281952001</v>
      </c>
      <c r="J16" s="12">
        <v>3112.2</v>
      </c>
      <c r="K16" s="11">
        <f t="shared" si="10"/>
        <v>6521.2023450000006</v>
      </c>
      <c r="L16" s="11">
        <v>778.05</v>
      </c>
      <c r="M16" s="11">
        <f>+'[1]CON PRESTACIONES GRAVADAS'!$R$73</f>
        <v>12703.489383424005</v>
      </c>
      <c r="N16" s="14">
        <f t="shared" si="4"/>
        <v>71013.924547944014</v>
      </c>
      <c r="O16" s="11">
        <f>+'[1]CON PRESTACIONES GRAVADAS'!$R$73</f>
        <v>12703.489383424005</v>
      </c>
      <c r="P16" s="21">
        <v>28424.959999999999</v>
      </c>
      <c r="Q16" s="22">
        <v>7230</v>
      </c>
      <c r="R16" s="16">
        <f t="shared" si="0"/>
        <v>48358.449383424006</v>
      </c>
      <c r="S16" s="17">
        <f t="shared" si="1"/>
        <v>22655.475164520009</v>
      </c>
    </row>
    <row r="17" spans="2:19" x14ac:dyDescent="0.25">
      <c r="B17" s="7" t="s">
        <v>60</v>
      </c>
      <c r="C17" s="8" t="s">
        <v>33</v>
      </c>
      <c r="D17" s="9">
        <v>5</v>
      </c>
      <c r="E17" s="10">
        <f>10472.385*1.025</f>
        <v>10734.194625</v>
      </c>
      <c r="F17" s="12">
        <f t="shared" si="2"/>
        <v>21468.38925</v>
      </c>
      <c r="G17" s="12">
        <f t="shared" si="9"/>
        <v>10948.878517500001</v>
      </c>
      <c r="H17" s="12">
        <f t="shared" si="8"/>
        <v>21897.757035000002</v>
      </c>
      <c r="I17" s="11">
        <f t="shared" si="11"/>
        <v>47898.98281952001</v>
      </c>
      <c r="J17" s="12">
        <v>3112.2</v>
      </c>
      <c r="K17" s="11">
        <f t="shared" si="10"/>
        <v>6521.2023450000006</v>
      </c>
      <c r="L17" s="11">
        <v>778.05</v>
      </c>
      <c r="M17" s="11">
        <f>+'[1]CON PRESTACIONES GRAVADAS'!$T$73</f>
        <v>12799.629308928001</v>
      </c>
      <c r="N17" s="14">
        <f t="shared" si="4"/>
        <v>71110.064473448001</v>
      </c>
      <c r="O17" s="11">
        <f>+'[1]CON PRESTACIONES GRAVADAS'!$T$73</f>
        <v>12799.629308928001</v>
      </c>
      <c r="P17" s="21"/>
      <c r="Q17" s="22"/>
      <c r="R17" s="16">
        <f t="shared" si="0"/>
        <v>12799.629308928001</v>
      </c>
      <c r="S17" s="17">
        <f t="shared" si="1"/>
        <v>58310.43516452</v>
      </c>
    </row>
    <row r="18" spans="2:19" x14ac:dyDescent="0.25">
      <c r="B18" s="7" t="s">
        <v>60</v>
      </c>
      <c r="C18" s="8" t="s">
        <v>34</v>
      </c>
      <c r="D18" s="9">
        <v>4</v>
      </c>
      <c r="E18" s="10">
        <f>9192.729*1.025</f>
        <v>9422.5472249999984</v>
      </c>
      <c r="F18" s="12">
        <f t="shared" si="2"/>
        <v>18845.094449999997</v>
      </c>
      <c r="G18" s="12">
        <f t="shared" si="9"/>
        <v>9610.9981694999988</v>
      </c>
      <c r="H18" s="12">
        <f t="shared" si="8"/>
        <v>19221.996338999998</v>
      </c>
      <c r="I18" s="11">
        <f t="shared" si="11"/>
        <v>41665.754556607993</v>
      </c>
      <c r="J18" s="12">
        <v>3112.2</v>
      </c>
      <c r="K18" s="11">
        <f t="shared" si="10"/>
        <v>5629.2821129999984</v>
      </c>
      <c r="L18" s="11">
        <v>778.05</v>
      </c>
      <c r="M18" s="11">
        <f>+'[1]CON PRESTACIONES GRAVADAS'!$U$73</f>
        <v>11123.794549503984</v>
      </c>
      <c r="N18" s="14">
        <f t="shared" si="4"/>
        <v>62309.081219111977</v>
      </c>
      <c r="O18" s="11">
        <f>+'[1]CON PRESTACIONES GRAVADAS'!$U$73</f>
        <v>11123.794549503984</v>
      </c>
      <c r="P18" s="21"/>
      <c r="Q18" s="22"/>
      <c r="R18" s="16">
        <f t="shared" si="0"/>
        <v>11123.794549503984</v>
      </c>
      <c r="S18" s="17">
        <f t="shared" si="1"/>
        <v>51185.286669607995</v>
      </c>
    </row>
    <row r="19" spans="2:19" x14ac:dyDescent="0.25">
      <c r="B19" s="7" t="s">
        <v>60</v>
      </c>
      <c r="C19" s="8" t="s">
        <v>35</v>
      </c>
      <c r="D19" s="9">
        <v>4</v>
      </c>
      <c r="E19" s="10">
        <f>9192.729*1.025</f>
        <v>9422.5472249999984</v>
      </c>
      <c r="F19" s="12">
        <f t="shared" si="2"/>
        <v>18845.094449999997</v>
      </c>
      <c r="G19" s="12">
        <f t="shared" si="9"/>
        <v>9610.9981694999988</v>
      </c>
      <c r="H19" s="12">
        <f t="shared" si="8"/>
        <v>19221.996338999998</v>
      </c>
      <c r="I19" s="11">
        <f>(((F19/30)*2.92)+(H19/30)*64.16)-J19</f>
        <v>39831.49869680799</v>
      </c>
      <c r="J19" s="12">
        <v>3112.2</v>
      </c>
      <c r="K19" s="11">
        <f>((H19/30)*9.16)-L19</f>
        <v>5091.066215507999</v>
      </c>
      <c r="L19" s="11">
        <v>778.05</v>
      </c>
      <c r="M19" s="11">
        <f>+'[1]CON PRESTACIONES GRAVADAS'!$V$73</f>
        <v>10602.902944815996</v>
      </c>
      <c r="N19" s="14">
        <f t="shared" si="4"/>
        <v>59415.717857131982</v>
      </c>
      <c r="O19" s="11">
        <f>+'[1]CON PRESTACIONES GRAVADAS'!$V$73</f>
        <v>10602.902944815996</v>
      </c>
      <c r="P19" s="21"/>
      <c r="Q19" s="22"/>
      <c r="R19" s="16">
        <f t="shared" si="0"/>
        <v>10602.902944815996</v>
      </c>
      <c r="S19" s="17">
        <f t="shared" si="1"/>
        <v>48812.814912315982</v>
      </c>
    </row>
    <row r="20" spans="2:19" x14ac:dyDescent="0.25">
      <c r="B20" s="7" t="s">
        <v>60</v>
      </c>
      <c r="C20" s="8" t="s">
        <v>36</v>
      </c>
      <c r="D20" s="9">
        <v>2</v>
      </c>
      <c r="E20" s="10">
        <f>7675.6365*1.025</f>
        <v>7867.5274124999987</v>
      </c>
      <c r="F20" s="12">
        <f t="shared" si="2"/>
        <v>15735.054824999997</v>
      </c>
      <c r="G20" s="12">
        <f t="shared" si="9"/>
        <v>8024.8779607499991</v>
      </c>
      <c r="H20" s="12">
        <f t="shared" si="8"/>
        <v>16049.755921499998</v>
      </c>
      <c r="I20" s="11">
        <f t="shared" si="11"/>
        <v>34275.968670047994</v>
      </c>
      <c r="J20" s="12">
        <v>3112.2</v>
      </c>
      <c r="K20" s="11">
        <f t="shared" si="10"/>
        <v>4571.8686404999989</v>
      </c>
      <c r="L20" s="11">
        <v>778.05</v>
      </c>
      <c r="M20" s="11">
        <f>+'[1]CON PRESTACIONES GRAVADAS'!$X$73</f>
        <v>9137.0134858240035</v>
      </c>
      <c r="N20" s="14">
        <f t="shared" si="4"/>
        <v>51875.100796371997</v>
      </c>
      <c r="O20" s="11">
        <f>+'[1]CON PRESTACIONES GRAVADAS'!$X$73</f>
        <v>9137.0134858240035</v>
      </c>
      <c r="P20" s="21"/>
      <c r="Q20" s="22"/>
      <c r="R20" s="16">
        <f t="shared" si="0"/>
        <v>9137.0134858240035</v>
      </c>
      <c r="S20" s="17">
        <f t="shared" si="1"/>
        <v>42738.087310547991</v>
      </c>
    </row>
    <row r="21" spans="2:19" x14ac:dyDescent="0.25">
      <c r="B21" s="7" t="s">
        <v>60</v>
      </c>
      <c r="C21" s="8" t="s">
        <v>37</v>
      </c>
      <c r="D21" s="9">
        <v>2</v>
      </c>
      <c r="E21" s="10">
        <f>7675.6365*1.025</f>
        <v>7867.5274124999987</v>
      </c>
      <c r="F21" s="12">
        <f t="shared" si="2"/>
        <v>15735.054824999997</v>
      </c>
      <c r="G21" s="12">
        <f t="shared" si="9"/>
        <v>8024.8779607499991</v>
      </c>
      <c r="H21" s="12">
        <f t="shared" si="8"/>
        <v>16049.755921499998</v>
      </c>
      <c r="I21" s="11">
        <f>((H21/30)*62.41)-J21</f>
        <v>30276.64223536049</v>
      </c>
      <c r="J21" s="12">
        <v>3112.2</v>
      </c>
      <c r="K21" s="11">
        <f>((H21/30)*7.83)-L21</f>
        <v>3410.9362955114993</v>
      </c>
      <c r="L21" s="11">
        <v>778.05</v>
      </c>
      <c r="M21" s="11">
        <f>+'[1]CON PRESTACIONES GRAVADAS'!$Y$73</f>
        <v>7923.3207164160021</v>
      </c>
      <c r="N21" s="14">
        <f t="shared" si="4"/>
        <v>45501.149247287998</v>
      </c>
      <c r="O21" s="11">
        <f>+'[1]CON PRESTACIONES GRAVADAS'!$Y$73</f>
        <v>7923.3207164160021</v>
      </c>
      <c r="P21" s="21"/>
      <c r="Q21" s="22"/>
      <c r="R21" s="16">
        <f t="shared" si="0"/>
        <v>7923.3207164160021</v>
      </c>
      <c r="S21" s="17">
        <f t="shared" si="1"/>
        <v>37577.828530871993</v>
      </c>
    </row>
    <row r="22" spans="2:19" ht="22.5" x14ac:dyDescent="0.25">
      <c r="B22" s="7" t="s">
        <v>60</v>
      </c>
      <c r="C22" s="8" t="s">
        <v>38</v>
      </c>
      <c r="D22" s="9">
        <v>1</v>
      </c>
      <c r="E22" s="10">
        <f>7204.1865*1.025</f>
        <v>7384.2911624999988</v>
      </c>
      <c r="F22" s="12">
        <f t="shared" si="2"/>
        <v>14768.582324999998</v>
      </c>
      <c r="G22" s="12">
        <f t="shared" si="9"/>
        <v>7531.9769857499987</v>
      </c>
      <c r="H22" s="12">
        <f t="shared" si="8"/>
        <v>15063.953971499997</v>
      </c>
      <c r="I22" s="11">
        <f>(((F22/30)*5.84)+(H22/30)*61.43)-J22</f>
        <v>30608.707108241495</v>
      </c>
      <c r="J22" s="12">
        <v>3112.2</v>
      </c>
      <c r="K22" s="11">
        <f>((H22/30)*9.22)-L22</f>
        <v>3851.6051872409998</v>
      </c>
      <c r="L22" s="11">
        <v>778.05</v>
      </c>
      <c r="M22" s="11">
        <f>+'[1]CON PRESTACIONES GRAVADAS'!$Z$73</f>
        <v>8105.0631456479887</v>
      </c>
      <c r="N22" s="14">
        <f t="shared" si="4"/>
        <v>46455.625441130491</v>
      </c>
      <c r="O22" s="11">
        <f>+'[1]CON PRESTACIONES GRAVADAS'!$Z$73</f>
        <v>8105.0631456479887</v>
      </c>
      <c r="P22" s="21"/>
      <c r="Q22" s="22"/>
      <c r="R22" s="16">
        <f t="shared" si="0"/>
        <v>8105.0631456479887</v>
      </c>
      <c r="S22" s="17">
        <f t="shared" si="1"/>
        <v>38350.562295482501</v>
      </c>
    </row>
    <row r="23" spans="2:19" ht="22.5" x14ac:dyDescent="0.25">
      <c r="B23" s="7" t="s">
        <v>60</v>
      </c>
      <c r="C23" s="8" t="s">
        <v>39</v>
      </c>
      <c r="D23" s="9">
        <v>1</v>
      </c>
      <c r="E23" s="10">
        <f>7204.1865*1.025</f>
        <v>7384.2911624999988</v>
      </c>
      <c r="F23" s="12">
        <f t="shared" si="2"/>
        <v>14768.582324999998</v>
      </c>
      <c r="G23" s="12">
        <f t="shared" si="9"/>
        <v>7531.9769857499987</v>
      </c>
      <c r="H23" s="12">
        <f t="shared" si="8"/>
        <v>15063.953971499997</v>
      </c>
      <c r="I23" s="11">
        <f t="shared" si="11"/>
        <v>31979.526919647989</v>
      </c>
      <c r="J23" s="12">
        <v>3112.2</v>
      </c>
      <c r="K23" s="11">
        <f t="shared" si="10"/>
        <v>4243.2679904999995</v>
      </c>
      <c r="L23" s="11">
        <v>778.05</v>
      </c>
      <c r="M23" s="11">
        <f>+'[1]CON PRESTACIONES GRAVADAS'!$AA$73</f>
        <v>8536.7166716173615</v>
      </c>
      <c r="N23" s="14">
        <f t="shared" si="4"/>
        <v>48649.76158176535</v>
      </c>
      <c r="O23" s="11">
        <f>+'[1]CON PRESTACIONES GRAVADAS'!$AA$73</f>
        <v>8536.7166716173615</v>
      </c>
      <c r="P23" s="21"/>
      <c r="Q23" s="22"/>
      <c r="R23" s="16">
        <f t="shared" si="0"/>
        <v>8536.7166716173615</v>
      </c>
      <c r="S23" s="17">
        <f t="shared" si="1"/>
        <v>40113.04491014799</v>
      </c>
    </row>
    <row r="24" spans="2:19" ht="22.5" x14ac:dyDescent="0.25">
      <c r="B24" s="7" t="s">
        <v>61</v>
      </c>
      <c r="C24" s="8" t="s">
        <v>40</v>
      </c>
      <c r="D24" s="9"/>
      <c r="E24" s="10">
        <f>6069.96</f>
        <v>6069.96</v>
      </c>
      <c r="F24" s="12">
        <f t="shared" si="2"/>
        <v>12139.92</v>
      </c>
      <c r="G24" s="12">
        <f>+E24</f>
        <v>6069.96</v>
      </c>
      <c r="H24" s="12">
        <f t="shared" si="8"/>
        <v>12139.92</v>
      </c>
      <c r="I24" s="11">
        <f t="shared" si="5"/>
        <v>25214.28</v>
      </c>
      <c r="J24" s="12">
        <v>3112.2</v>
      </c>
      <c r="K24" s="11">
        <f t="shared" si="6"/>
        <v>3268.59</v>
      </c>
      <c r="L24" s="11">
        <v>778.05</v>
      </c>
      <c r="M24" s="11">
        <f>+'[1]CON PRESTACIONES GRAVADAS'!$AB$73</f>
        <v>4940.0135018932715</v>
      </c>
      <c r="N24" s="14">
        <f t="shared" si="4"/>
        <v>37313.133501893273</v>
      </c>
      <c r="O24" s="11">
        <f>+'[1]CON PRESTACIONES GRAVADAS'!$AB$73</f>
        <v>4940.0135018932715</v>
      </c>
      <c r="P24" s="21"/>
      <c r="Q24" s="22"/>
      <c r="R24" s="16">
        <f t="shared" si="0"/>
        <v>4940.0135018932715</v>
      </c>
      <c r="S24" s="17">
        <f t="shared" si="1"/>
        <v>32373.120000000003</v>
      </c>
    </row>
    <row r="25" spans="2:19" x14ac:dyDescent="0.25">
      <c r="B25" s="7" t="s">
        <v>61</v>
      </c>
      <c r="C25" s="23" t="s">
        <v>41</v>
      </c>
      <c r="D25" s="29"/>
      <c r="E25" s="30">
        <f>3018.5</f>
        <v>3018.5</v>
      </c>
      <c r="F25" s="12">
        <f t="shared" si="2"/>
        <v>6037</v>
      </c>
      <c r="G25" s="12">
        <f>+E25</f>
        <v>3018.5</v>
      </c>
      <c r="H25" s="12">
        <f t="shared" si="8"/>
        <v>6037</v>
      </c>
      <c r="I25" s="11">
        <f>((F25/30)*70)-J25</f>
        <v>10974.133333333331</v>
      </c>
      <c r="J25" s="12">
        <v>3112.2</v>
      </c>
      <c r="K25" s="11">
        <f>((F25/30)*10)-L25</f>
        <v>1234.2833333333333</v>
      </c>
      <c r="L25" s="11">
        <v>778.05</v>
      </c>
      <c r="M25" s="11">
        <f>+'[1]CON PRESTACIONES GRAVADAS'!$AF$73</f>
        <v>1215.5418093145809</v>
      </c>
      <c r="N25" s="14">
        <f t="shared" si="4"/>
        <v>17314.208475981246</v>
      </c>
      <c r="O25" s="11">
        <f>+'[1]CON PRESTACIONES GRAVADAS'!$AF$73</f>
        <v>1215.5418093145809</v>
      </c>
      <c r="P25" s="21"/>
      <c r="Q25" s="22"/>
      <c r="R25" s="16">
        <f t="shared" si="0"/>
        <v>1215.5418093145809</v>
      </c>
      <c r="S25" s="17">
        <f t="shared" si="1"/>
        <v>16098.666666666664</v>
      </c>
    </row>
    <row r="26" spans="2:19" ht="15.75" thickBot="1" x14ac:dyDescent="0.3">
      <c r="B26" s="31" t="s">
        <v>42</v>
      </c>
      <c r="C26" s="32"/>
      <c r="D26" s="33"/>
      <c r="E26" s="34">
        <f t="shared" ref="E26:S26" si="12">SUM(E5:E25)</f>
        <v>238122.87256449627</v>
      </c>
      <c r="F26" s="34">
        <f t="shared" si="12"/>
        <v>476245.74512899254</v>
      </c>
      <c r="G26" s="34">
        <f t="shared" si="12"/>
        <v>240593.14001578619</v>
      </c>
      <c r="H26" s="34">
        <f t="shared" si="12"/>
        <v>481186.28003157239</v>
      </c>
      <c r="I26" s="34">
        <f t="shared" si="12"/>
        <v>1048113.8822139702</v>
      </c>
      <c r="J26" s="34">
        <f t="shared" si="12"/>
        <v>65356.199999999975</v>
      </c>
      <c r="K26" s="34">
        <f t="shared" si="12"/>
        <v>141641.02112102477</v>
      </c>
      <c r="L26" s="34">
        <f t="shared" si="12"/>
        <v>16339.049999999994</v>
      </c>
      <c r="M26" s="34">
        <f t="shared" si="12"/>
        <v>302404.68195458903</v>
      </c>
      <c r="N26" s="34">
        <f>SUM(N5:N25)</f>
        <v>1573854.835289584</v>
      </c>
      <c r="O26" s="34">
        <f t="shared" si="12"/>
        <v>302404.68195458903</v>
      </c>
      <c r="P26" s="34">
        <f t="shared" si="12"/>
        <v>28424.959999999999</v>
      </c>
      <c r="Q26" s="34">
        <f t="shared" si="12"/>
        <v>7230</v>
      </c>
      <c r="R26" s="34">
        <f t="shared" si="12"/>
        <v>338059.64195458905</v>
      </c>
      <c r="S26" s="34">
        <f t="shared" si="12"/>
        <v>1235795.1933349951</v>
      </c>
    </row>
    <row r="30" spans="2:19" x14ac:dyDescent="0.25">
      <c r="B30" t="s">
        <v>58</v>
      </c>
      <c r="C30" t="s">
        <v>54</v>
      </c>
    </row>
    <row r="31" spans="2:19" x14ac:dyDescent="0.25">
      <c r="B31" t="s">
        <v>59</v>
      </c>
      <c r="C31" t="s">
        <v>55</v>
      </c>
    </row>
    <row r="32" spans="2:19" x14ac:dyDescent="0.25">
      <c r="B32" t="s">
        <v>60</v>
      </c>
      <c r="C32" t="s">
        <v>62</v>
      </c>
    </row>
    <row r="33" spans="2:3" x14ac:dyDescent="0.25">
      <c r="B33" t="s">
        <v>61</v>
      </c>
      <c r="C33" t="s">
        <v>63</v>
      </c>
    </row>
  </sheetData>
  <mergeCells count="2">
    <mergeCell ref="F1:N1"/>
    <mergeCell ref="Q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AG22" sqref="AG22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8" width="10.5703125" customWidth="1"/>
    <col min="9" max="9" width="10.140625" customWidth="1"/>
    <col min="10" max="10" width="8.85546875" customWidth="1"/>
    <col min="11" max="11" width="9.7109375" customWidth="1"/>
    <col min="12" max="12" width="9" customWidth="1"/>
    <col min="13" max="14" width="8.85546875" customWidth="1"/>
    <col min="15" max="17" width="8.7109375" customWidth="1"/>
    <col min="18" max="20" width="9.28515625" customWidth="1"/>
    <col min="21" max="21" width="11.5703125" bestFit="1" customWidth="1"/>
    <col min="22" max="22" width="7.42578125" customWidth="1"/>
    <col min="23" max="24" width="8.7109375" bestFit="1" customWidth="1"/>
    <col min="25" max="25" width="9" customWidth="1"/>
    <col min="26" max="26" width="9.5703125" customWidth="1"/>
    <col min="27" max="27" width="7.85546875" customWidth="1"/>
    <col min="28" max="29" width="10.140625" customWidth="1"/>
    <col min="30" max="30" width="9.5703125" customWidth="1"/>
    <col min="31" max="31" width="10.28515625" bestFit="1" customWidth="1"/>
  </cols>
  <sheetData>
    <row r="1" spans="1:31" ht="18.75" x14ac:dyDescent="0.25">
      <c r="E1" s="1"/>
      <c r="F1" s="1"/>
      <c r="G1" s="1"/>
      <c r="H1" s="1"/>
      <c r="I1" s="2" t="s">
        <v>94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1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1" ht="48.75" customHeight="1" x14ac:dyDescent="0.25">
      <c r="B3" s="40"/>
      <c r="C3" s="40"/>
      <c r="D3" s="3" t="s">
        <v>1</v>
      </c>
      <c r="E3" s="44" t="s">
        <v>79</v>
      </c>
      <c r="F3" s="55" t="s">
        <v>80</v>
      </c>
      <c r="G3" s="55" t="s">
        <v>81</v>
      </c>
      <c r="H3" s="55" t="s">
        <v>82</v>
      </c>
      <c r="I3" s="45" t="s">
        <v>3</v>
      </c>
      <c r="J3" s="45" t="s">
        <v>4</v>
      </c>
      <c r="K3" s="45" t="s">
        <v>5</v>
      </c>
      <c r="L3" s="45" t="s">
        <v>6</v>
      </c>
      <c r="M3" s="45" t="s">
        <v>7</v>
      </c>
      <c r="N3" s="45" t="s">
        <v>8</v>
      </c>
      <c r="O3" s="45" t="s">
        <v>9</v>
      </c>
      <c r="P3" s="45" t="s">
        <v>10</v>
      </c>
      <c r="Q3" s="45" t="s">
        <v>11</v>
      </c>
      <c r="R3" s="46" t="s">
        <v>83</v>
      </c>
      <c r="S3" s="46" t="s">
        <v>15</v>
      </c>
      <c r="T3" s="46" t="s">
        <v>15</v>
      </c>
      <c r="U3" s="41"/>
      <c r="V3" s="4" t="s">
        <v>13</v>
      </c>
      <c r="W3" s="4" t="s">
        <v>14</v>
      </c>
      <c r="X3" s="4" t="s">
        <v>15</v>
      </c>
      <c r="Y3" s="4" t="s">
        <v>16</v>
      </c>
      <c r="Z3" s="4" t="s">
        <v>17</v>
      </c>
      <c r="AA3" s="5" t="s">
        <v>18</v>
      </c>
      <c r="AB3" s="42" t="s">
        <v>0</v>
      </c>
      <c r="AC3" s="42" t="s">
        <v>91</v>
      </c>
      <c r="AD3" s="42"/>
      <c r="AE3" s="43"/>
    </row>
    <row r="4" spans="1:31" x14ac:dyDescent="0.25">
      <c r="A4" s="54"/>
      <c r="B4" s="7" t="s">
        <v>58</v>
      </c>
      <c r="C4" s="8" t="s">
        <v>21</v>
      </c>
      <c r="D4" s="9">
        <v>17</v>
      </c>
      <c r="E4" s="10">
        <f>38573.38/2</f>
        <v>19286.689999999999</v>
      </c>
      <c r="F4" s="10">
        <f>+E4*2</f>
        <v>38573.379999999997</v>
      </c>
      <c r="G4" s="10">
        <f>+E4</f>
        <v>19286.689999999999</v>
      </c>
      <c r="H4" s="10">
        <f>+F4</f>
        <v>38573.379999999997</v>
      </c>
      <c r="I4" s="12">
        <v>200</v>
      </c>
      <c r="J4" s="11"/>
      <c r="K4" s="12"/>
      <c r="L4" s="11"/>
      <c r="M4" s="11"/>
      <c r="N4" s="11"/>
      <c r="O4" s="11"/>
      <c r="P4" s="11"/>
      <c r="Q4" s="13"/>
      <c r="R4" s="38"/>
      <c r="S4" s="38"/>
      <c r="T4" s="38"/>
      <c r="U4" s="14">
        <f>SUM(I4:T4)+G4</f>
        <v>19486.689999999999</v>
      </c>
      <c r="V4" s="11"/>
      <c r="W4" s="11"/>
      <c r="X4" s="11"/>
      <c r="Y4" s="11">
        <f>(G4*0.07)</f>
        <v>1350.0683000000001</v>
      </c>
      <c r="Z4" s="11">
        <v>3388.3970879999997</v>
      </c>
      <c r="AA4" s="15"/>
      <c r="AB4" s="16"/>
      <c r="AC4" s="16"/>
      <c r="AD4" s="16">
        <f t="shared" ref="AD4:AD24" si="0">SUM(V4:AC4)</f>
        <v>4738.4653879999996</v>
      </c>
      <c r="AE4" s="17">
        <f t="shared" ref="AE4:AE24" si="1">+U4-AD4</f>
        <v>14748.224611999998</v>
      </c>
    </row>
    <row r="5" spans="1:31" x14ac:dyDescent="0.25">
      <c r="A5" s="54"/>
      <c r="B5" s="7" t="s">
        <v>58</v>
      </c>
      <c r="C5" s="8" t="s">
        <v>22</v>
      </c>
      <c r="D5" s="9">
        <v>14</v>
      </c>
      <c r="E5" s="10">
        <f>14917.51</f>
        <v>14917.51</v>
      </c>
      <c r="F5" s="10">
        <f t="shared" ref="F5:F24" si="2">+E5*2</f>
        <v>29835.02</v>
      </c>
      <c r="G5" s="10">
        <f t="shared" ref="G5:H10" si="3">+E5</f>
        <v>14917.51</v>
      </c>
      <c r="H5" s="10">
        <f t="shared" si="3"/>
        <v>29835.02</v>
      </c>
      <c r="I5" s="12">
        <v>200</v>
      </c>
      <c r="J5" s="19"/>
      <c r="K5" s="12"/>
      <c r="L5" s="19"/>
      <c r="M5" s="19"/>
      <c r="N5" s="19"/>
      <c r="O5" s="19"/>
      <c r="P5" s="19"/>
      <c r="Q5" s="20"/>
      <c r="R5" s="38"/>
      <c r="S5" s="38"/>
      <c r="T5" s="38"/>
      <c r="U5" s="14">
        <f t="shared" ref="U5:U24" si="4">SUM(I5:T5)+G5</f>
        <v>15117.51</v>
      </c>
      <c r="V5" s="19"/>
      <c r="W5" s="19"/>
      <c r="X5" s="19"/>
      <c r="Y5" s="11">
        <f t="shared" ref="Y5:Y22" si="5">(G5*0.07)</f>
        <v>1044.2257000000002</v>
      </c>
      <c r="Z5" s="19">
        <v>2373.7416400000002</v>
      </c>
      <c r="AA5" s="21"/>
      <c r="AB5" s="22"/>
      <c r="AC5" s="22"/>
      <c r="AD5" s="16">
        <f t="shared" si="0"/>
        <v>3417.9673400000001</v>
      </c>
      <c r="AE5" s="17">
        <f t="shared" si="1"/>
        <v>11699.542659999999</v>
      </c>
    </row>
    <row r="6" spans="1:31" x14ac:dyDescent="0.25">
      <c r="A6" s="54"/>
      <c r="B6" s="7" t="s">
        <v>58</v>
      </c>
      <c r="C6" s="8" t="s">
        <v>23</v>
      </c>
      <c r="D6" s="9">
        <v>14</v>
      </c>
      <c r="E6" s="10">
        <f>14917.51</f>
        <v>14917.51</v>
      </c>
      <c r="F6" s="10">
        <f t="shared" si="2"/>
        <v>29835.02</v>
      </c>
      <c r="G6" s="10">
        <f t="shared" si="3"/>
        <v>14917.51</v>
      </c>
      <c r="H6" s="10">
        <f t="shared" si="3"/>
        <v>29835.02</v>
      </c>
      <c r="I6" s="12">
        <v>200</v>
      </c>
      <c r="J6" s="19"/>
      <c r="K6" s="12"/>
      <c r="L6" s="19"/>
      <c r="M6" s="19"/>
      <c r="N6" s="19"/>
      <c r="O6" s="19"/>
      <c r="P6" s="19"/>
      <c r="Q6" s="20"/>
      <c r="R6" s="38"/>
      <c r="S6" s="38"/>
      <c r="T6" s="38"/>
      <c r="U6" s="14">
        <f t="shared" si="4"/>
        <v>15117.51</v>
      </c>
      <c r="V6" s="19"/>
      <c r="W6" s="19"/>
      <c r="X6" s="19"/>
      <c r="Y6" s="11">
        <f t="shared" si="5"/>
        <v>1044.2257000000002</v>
      </c>
      <c r="Z6" s="19">
        <v>2373.7416400000002</v>
      </c>
      <c r="AA6" s="21"/>
      <c r="AB6" s="22"/>
      <c r="AC6" s="22"/>
      <c r="AD6" s="16">
        <f t="shared" si="0"/>
        <v>3417.9673400000001</v>
      </c>
      <c r="AE6" s="17">
        <f t="shared" si="1"/>
        <v>11699.542659999999</v>
      </c>
    </row>
    <row r="7" spans="1:31" x14ac:dyDescent="0.25">
      <c r="A7" s="54"/>
      <c r="B7" s="7" t="s">
        <v>59</v>
      </c>
      <c r="C7" s="8" t="s">
        <v>24</v>
      </c>
      <c r="D7" s="9">
        <v>13</v>
      </c>
      <c r="E7" s="10">
        <f>15022.1</f>
        <v>15022.1</v>
      </c>
      <c r="F7" s="10">
        <f t="shared" si="2"/>
        <v>30044.2</v>
      </c>
      <c r="G7" s="10">
        <f>+E7</f>
        <v>15022.1</v>
      </c>
      <c r="H7" s="10">
        <f t="shared" si="3"/>
        <v>30044.2</v>
      </c>
      <c r="I7" s="12">
        <v>900</v>
      </c>
      <c r="J7" s="12">
        <v>900</v>
      </c>
      <c r="K7" s="12">
        <v>900</v>
      </c>
      <c r="L7" s="12">
        <v>3000</v>
      </c>
      <c r="M7" s="19">
        <v>3341.8</v>
      </c>
      <c r="N7" s="19">
        <v>733</v>
      </c>
      <c r="O7" s="12"/>
      <c r="P7" s="19"/>
      <c r="Q7" s="20">
        <f>(G7/15)*2</f>
        <v>2002.9466666666667</v>
      </c>
      <c r="R7" s="38">
        <v>7300</v>
      </c>
      <c r="S7" s="38"/>
      <c r="T7" s="38"/>
      <c r="U7" s="14">
        <f t="shared" si="4"/>
        <v>34099.846666666665</v>
      </c>
      <c r="V7" s="19"/>
      <c r="W7" s="19"/>
      <c r="X7" s="19"/>
      <c r="Y7" s="11">
        <f t="shared" si="5"/>
        <v>1051.547</v>
      </c>
      <c r="Z7" s="19">
        <v>4287.8685280000009</v>
      </c>
      <c r="AA7" s="21"/>
      <c r="AB7" s="22"/>
      <c r="AC7" s="22"/>
      <c r="AD7" s="16">
        <f t="shared" si="0"/>
        <v>5339.4155280000014</v>
      </c>
      <c r="AE7" s="17">
        <f t="shared" si="1"/>
        <v>28760.431138666663</v>
      </c>
    </row>
    <row r="8" spans="1:31" ht="15" customHeight="1" x14ac:dyDescent="0.25">
      <c r="A8" s="54"/>
      <c r="B8" s="7" t="s">
        <v>59</v>
      </c>
      <c r="C8" s="8" t="s">
        <v>25</v>
      </c>
      <c r="D8" s="9">
        <v>13</v>
      </c>
      <c r="E8" s="10">
        <f>15022.1</f>
        <v>15022.1</v>
      </c>
      <c r="F8" s="10">
        <f t="shared" si="2"/>
        <v>30044.2</v>
      </c>
      <c r="G8" s="10">
        <f t="shared" ref="G8:G10" si="6">+E8</f>
        <v>15022.1</v>
      </c>
      <c r="H8" s="10">
        <f t="shared" si="3"/>
        <v>30044.2</v>
      </c>
      <c r="I8" s="12">
        <v>900</v>
      </c>
      <c r="J8" s="12">
        <v>900</v>
      </c>
      <c r="K8" s="12">
        <v>900</v>
      </c>
      <c r="L8" s="12">
        <v>3000</v>
      </c>
      <c r="M8" s="19">
        <v>3341.8</v>
      </c>
      <c r="N8" s="19">
        <v>733</v>
      </c>
      <c r="O8" s="12"/>
      <c r="P8" s="19"/>
      <c r="Q8" s="20">
        <f t="shared" ref="Q8:Q22" si="7">(G8/15)*2</f>
        <v>2002.9466666666667</v>
      </c>
      <c r="R8" s="38">
        <v>7300</v>
      </c>
      <c r="S8" s="38"/>
      <c r="T8" s="38"/>
      <c r="U8" s="14">
        <f t="shared" si="4"/>
        <v>34099.846666666665</v>
      </c>
      <c r="V8" s="19"/>
      <c r="W8" s="19"/>
      <c r="X8" s="19"/>
      <c r="Y8" s="11">
        <f t="shared" si="5"/>
        <v>1051.547</v>
      </c>
      <c r="Z8" s="19">
        <v>4287.8685280000009</v>
      </c>
      <c r="AA8" s="21"/>
      <c r="AB8" s="22"/>
      <c r="AC8" s="22"/>
      <c r="AD8" s="16">
        <f t="shared" si="0"/>
        <v>5339.4155280000014</v>
      </c>
      <c r="AE8" s="17">
        <f t="shared" si="1"/>
        <v>28760.431138666663</v>
      </c>
    </row>
    <row r="9" spans="1:31" ht="15" customHeight="1" x14ac:dyDescent="0.25">
      <c r="A9" s="54"/>
      <c r="B9" s="7" t="s">
        <v>59</v>
      </c>
      <c r="C9" s="8" t="s">
        <v>26</v>
      </c>
      <c r="D9" s="9">
        <v>13</v>
      </c>
      <c r="E9" s="10">
        <f>15022.1</f>
        <v>15022.1</v>
      </c>
      <c r="F9" s="10">
        <f t="shared" si="2"/>
        <v>30044.2</v>
      </c>
      <c r="G9" s="10">
        <f t="shared" si="6"/>
        <v>15022.1</v>
      </c>
      <c r="H9" s="10">
        <f t="shared" si="3"/>
        <v>30044.2</v>
      </c>
      <c r="I9" s="12">
        <v>900</v>
      </c>
      <c r="J9" s="12">
        <v>900</v>
      </c>
      <c r="K9" s="12">
        <v>900</v>
      </c>
      <c r="L9" s="12">
        <v>3000</v>
      </c>
      <c r="M9" s="19">
        <v>3341.8</v>
      </c>
      <c r="N9" s="19">
        <v>733</v>
      </c>
      <c r="O9" s="12"/>
      <c r="P9" s="19"/>
      <c r="Q9" s="20">
        <f t="shared" si="7"/>
        <v>2002.9466666666667</v>
      </c>
      <c r="R9" s="38">
        <v>7300</v>
      </c>
      <c r="S9" s="38"/>
      <c r="T9" s="38"/>
      <c r="U9" s="14">
        <f t="shared" si="4"/>
        <v>34099.846666666665</v>
      </c>
      <c r="V9" s="19"/>
      <c r="W9" s="19"/>
      <c r="X9" s="19"/>
      <c r="Y9" s="11">
        <f t="shared" si="5"/>
        <v>1051.547</v>
      </c>
      <c r="Z9" s="19">
        <v>4287.8685280000009</v>
      </c>
      <c r="AA9" s="21"/>
      <c r="AB9" s="22"/>
      <c r="AC9" s="22"/>
      <c r="AD9" s="16">
        <f t="shared" si="0"/>
        <v>5339.4155280000014</v>
      </c>
      <c r="AE9" s="17">
        <f t="shared" si="1"/>
        <v>28760.431138666663</v>
      </c>
    </row>
    <row r="10" spans="1:31" ht="15" customHeight="1" x14ac:dyDescent="0.25">
      <c r="A10" s="54"/>
      <c r="B10" s="7" t="s">
        <v>59</v>
      </c>
      <c r="C10" s="8" t="s">
        <v>27</v>
      </c>
      <c r="D10" s="9">
        <v>9</v>
      </c>
      <c r="E10" s="10">
        <f>11333.03</f>
        <v>11333.03</v>
      </c>
      <c r="F10" s="10">
        <f t="shared" si="2"/>
        <v>22666.06</v>
      </c>
      <c r="G10" s="10">
        <f t="shared" si="6"/>
        <v>11333.03</v>
      </c>
      <c r="H10" s="10">
        <f t="shared" si="3"/>
        <v>22666.06</v>
      </c>
      <c r="I10" s="12">
        <v>900</v>
      </c>
      <c r="J10" s="12">
        <v>900</v>
      </c>
      <c r="K10" s="12">
        <v>900</v>
      </c>
      <c r="L10" s="12">
        <v>1050</v>
      </c>
      <c r="M10" s="19">
        <v>1803.2</v>
      </c>
      <c r="N10" s="19">
        <v>675</v>
      </c>
      <c r="O10" s="12"/>
      <c r="P10" s="19"/>
      <c r="Q10" s="20">
        <f t="shared" si="7"/>
        <v>1511.0706666666667</v>
      </c>
      <c r="R10" s="38">
        <v>7300</v>
      </c>
      <c r="S10" s="38"/>
      <c r="T10" s="38"/>
      <c r="U10" s="14">
        <f t="shared" si="4"/>
        <v>26372.30066666667</v>
      </c>
      <c r="V10" s="19"/>
      <c r="W10" s="19"/>
      <c r="X10" s="19"/>
      <c r="Y10" s="11">
        <f t="shared" si="5"/>
        <v>793.3121000000001</v>
      </c>
      <c r="Z10" s="19">
        <v>2945.2744864000001</v>
      </c>
      <c r="AA10" s="21"/>
      <c r="AB10" s="22"/>
      <c r="AC10" s="22"/>
      <c r="AD10" s="16">
        <f t="shared" si="0"/>
        <v>3738.5865864000002</v>
      </c>
      <c r="AE10" s="17">
        <f t="shared" si="1"/>
        <v>22633.714080266669</v>
      </c>
    </row>
    <row r="11" spans="1:31" ht="15" customHeight="1" x14ac:dyDescent="0.25">
      <c r="A11" s="54"/>
      <c r="B11" s="7" t="s">
        <v>60</v>
      </c>
      <c r="C11" s="8" t="s">
        <v>28</v>
      </c>
      <c r="D11" s="9">
        <v>10</v>
      </c>
      <c r="E11" s="10">
        <f>14753.0937824354*1.025</f>
        <v>15121.921126996283</v>
      </c>
      <c r="F11" s="10">
        <f t="shared" si="2"/>
        <v>30243.842253992567</v>
      </c>
      <c r="G11" s="10">
        <f>+E11*1.02</f>
        <v>15424.35954953621</v>
      </c>
      <c r="H11" s="10">
        <f>+G11*2</f>
        <v>30848.719099072419</v>
      </c>
      <c r="I11" s="12">
        <v>1100</v>
      </c>
      <c r="J11" s="12">
        <v>1133</v>
      </c>
      <c r="K11" s="12">
        <v>1140</v>
      </c>
      <c r="L11" s="12">
        <v>1150</v>
      </c>
      <c r="M11" s="19">
        <v>1934.8</v>
      </c>
      <c r="N11" s="19">
        <v>787</v>
      </c>
      <c r="O11" s="12"/>
      <c r="P11" s="19">
        <v>945</v>
      </c>
      <c r="Q11" s="20">
        <f t="shared" si="7"/>
        <v>2056.5812732714944</v>
      </c>
      <c r="R11" s="38">
        <f t="shared" ref="R11:R22" si="8">8910+400</f>
        <v>9310</v>
      </c>
      <c r="S11" s="50">
        <f t="shared" ref="S11:S22" si="9">(((F11*0.07)*2)+((H11*0.07)*10))</f>
        <v>25828.241284909658</v>
      </c>
      <c r="T11" s="38">
        <f t="shared" ref="T11:T22" si="10">(((F11*0.07)*2)+(H11*0.07)*10)</f>
        <v>25828.241284909658</v>
      </c>
      <c r="U11" s="14">
        <f t="shared" si="4"/>
        <v>86637.223392627013</v>
      </c>
      <c r="V11" s="19"/>
      <c r="W11" s="19"/>
      <c r="X11" s="19">
        <f>(G11*0.07)</f>
        <v>1079.7051684675348</v>
      </c>
      <c r="Y11" s="11">
        <f t="shared" si="5"/>
        <v>1079.7051684675348</v>
      </c>
      <c r="Z11" s="19">
        <v>4359.622603787644</v>
      </c>
      <c r="AA11" s="21"/>
      <c r="AB11" s="22"/>
      <c r="AC11" s="22"/>
      <c r="AD11" s="16">
        <f t="shared" si="0"/>
        <v>6519.0329407227136</v>
      </c>
      <c r="AE11" s="17">
        <f t="shared" si="1"/>
        <v>80118.190451904302</v>
      </c>
    </row>
    <row r="12" spans="1:31" ht="15" customHeight="1" x14ac:dyDescent="0.25">
      <c r="A12" s="54"/>
      <c r="B12" s="7" t="s">
        <v>60</v>
      </c>
      <c r="C12" s="8" t="s">
        <v>29</v>
      </c>
      <c r="D12" s="9">
        <v>8</v>
      </c>
      <c r="E12" s="10">
        <f>12779.3925*1.025</f>
        <v>13098.877312499999</v>
      </c>
      <c r="F12" s="10">
        <f t="shared" si="2"/>
        <v>26197.754624999998</v>
      </c>
      <c r="G12" s="10">
        <f t="shared" ref="G12:G22" si="11">+E12*1.02</f>
        <v>13360.854858749999</v>
      </c>
      <c r="H12" s="10">
        <f t="shared" ref="H12:H22" si="12">+G12*2</f>
        <v>26721.709717499998</v>
      </c>
      <c r="I12" s="12">
        <v>1100</v>
      </c>
      <c r="J12" s="12">
        <v>1133</v>
      </c>
      <c r="K12" s="12">
        <v>1140</v>
      </c>
      <c r="L12" s="12">
        <v>1000</v>
      </c>
      <c r="M12" s="11">
        <v>1677.2</v>
      </c>
      <c r="N12" s="11">
        <f>662+100</f>
        <v>762</v>
      </c>
      <c r="O12" s="12">
        <f>225</f>
        <v>225</v>
      </c>
      <c r="P12" s="12">
        <v>838</v>
      </c>
      <c r="Q12" s="20">
        <f t="shared" si="7"/>
        <v>1781.4473144999999</v>
      </c>
      <c r="R12" s="38">
        <f t="shared" si="8"/>
        <v>9310</v>
      </c>
      <c r="S12" s="50">
        <f t="shared" si="9"/>
        <v>22372.882449749999</v>
      </c>
      <c r="T12" s="38">
        <f t="shared" si="10"/>
        <v>22372.882449749999</v>
      </c>
      <c r="U12" s="14">
        <f t="shared" si="4"/>
        <v>77073.267072749994</v>
      </c>
      <c r="V12" s="19">
        <f>(G12*0.01)</f>
        <v>133.6085485875</v>
      </c>
      <c r="W12" s="19">
        <f>1000</f>
        <v>1000</v>
      </c>
      <c r="X12" s="19">
        <f t="shared" ref="X12:X22" si="13">(G12*0.07)</f>
        <v>935.2598401125</v>
      </c>
      <c r="Y12" s="11">
        <f t="shared" si="5"/>
        <v>935.2598401125</v>
      </c>
      <c r="Z12" s="19">
        <v>3831.3935869631996</v>
      </c>
      <c r="AA12" s="21"/>
      <c r="AB12" s="22">
        <f>966.64</f>
        <v>966.64</v>
      </c>
      <c r="AC12" s="22"/>
      <c r="AD12" s="16">
        <f t="shared" si="0"/>
        <v>7802.1618157757002</v>
      </c>
      <c r="AE12" s="17">
        <f t="shared" si="1"/>
        <v>69271.10525697429</v>
      </c>
    </row>
    <row r="13" spans="1:31" ht="22.5" x14ac:dyDescent="0.25">
      <c r="A13" s="54"/>
      <c r="B13" s="7" t="s">
        <v>60</v>
      </c>
      <c r="C13" s="23" t="s">
        <v>30</v>
      </c>
      <c r="D13" s="24">
        <v>7</v>
      </c>
      <c r="E13" s="10">
        <f>11939.2455*1.025</f>
        <v>12237.7266375</v>
      </c>
      <c r="F13" s="10">
        <f t="shared" si="2"/>
        <v>24475.453275</v>
      </c>
      <c r="G13" s="10">
        <f t="shared" si="11"/>
        <v>12482.481170250001</v>
      </c>
      <c r="H13" s="10">
        <f t="shared" si="12"/>
        <v>24964.962340500002</v>
      </c>
      <c r="I13" s="12">
        <v>1100</v>
      </c>
      <c r="J13" s="12">
        <v>1133</v>
      </c>
      <c r="K13" s="12">
        <v>1140</v>
      </c>
      <c r="L13" s="12"/>
      <c r="M13" s="11">
        <v>1565.2</v>
      </c>
      <c r="N13" s="11">
        <f>651+100</f>
        <v>751</v>
      </c>
      <c r="O13" s="19">
        <f>325</f>
        <v>325</v>
      </c>
      <c r="P13" s="19">
        <v>793</v>
      </c>
      <c r="Q13" s="20">
        <f t="shared" si="7"/>
        <v>1664.3308227000002</v>
      </c>
      <c r="R13" s="38">
        <f t="shared" si="8"/>
        <v>9310</v>
      </c>
      <c r="S13" s="50">
        <f t="shared" si="9"/>
        <v>20902.037096850006</v>
      </c>
      <c r="T13" s="38">
        <f t="shared" si="10"/>
        <v>20902.037096850006</v>
      </c>
      <c r="U13" s="14">
        <f t="shared" si="4"/>
        <v>72068.086186650005</v>
      </c>
      <c r="V13" s="19">
        <f t="shared" ref="V13:V21" si="14">(G13*0.01)</f>
        <v>124.82481170250001</v>
      </c>
      <c r="W13" s="19"/>
      <c r="X13" s="19">
        <f t="shared" si="13"/>
        <v>873.7736819175002</v>
      </c>
      <c r="Y13" s="11">
        <f t="shared" si="5"/>
        <v>873.7736819175002</v>
      </c>
      <c r="Z13" s="19">
        <v>3497.1903959923211</v>
      </c>
      <c r="AA13" s="22"/>
      <c r="AB13" s="21"/>
      <c r="AC13" s="21"/>
      <c r="AD13" s="16">
        <f t="shared" si="0"/>
        <v>5369.5625715298211</v>
      </c>
      <c r="AE13" s="17">
        <f t="shared" si="1"/>
        <v>66698.523615120183</v>
      </c>
    </row>
    <row r="14" spans="1:31" x14ac:dyDescent="0.25">
      <c r="A14" s="54"/>
      <c r="B14" s="7" t="s">
        <v>60</v>
      </c>
      <c r="C14" s="23" t="s">
        <v>31</v>
      </c>
      <c r="D14" s="24">
        <v>7</v>
      </c>
      <c r="E14" s="10">
        <f>11939.2455*1.025</f>
        <v>12237.7266375</v>
      </c>
      <c r="F14" s="10">
        <f t="shared" si="2"/>
        <v>24475.453275</v>
      </c>
      <c r="G14" s="10">
        <f t="shared" si="11"/>
        <v>12482.481170250001</v>
      </c>
      <c r="H14" s="10">
        <f t="shared" si="12"/>
        <v>24964.962340500002</v>
      </c>
      <c r="I14" s="12">
        <v>1100</v>
      </c>
      <c r="J14" s="12">
        <v>1133</v>
      </c>
      <c r="K14" s="12">
        <v>1140</v>
      </c>
      <c r="L14" s="12"/>
      <c r="M14" s="11">
        <v>1565.2</v>
      </c>
      <c r="N14" s="11">
        <f>651+100</f>
        <v>751</v>
      </c>
      <c r="O14" s="19"/>
      <c r="P14" s="19">
        <v>793</v>
      </c>
      <c r="Q14" s="20">
        <f t="shared" si="7"/>
        <v>1664.3308227000002</v>
      </c>
      <c r="R14" s="38">
        <f t="shared" si="8"/>
        <v>9310</v>
      </c>
      <c r="S14" s="50">
        <f t="shared" si="9"/>
        <v>20902.037096850006</v>
      </c>
      <c r="T14" s="38">
        <f t="shared" si="10"/>
        <v>20902.037096850006</v>
      </c>
      <c r="U14" s="14">
        <f t="shared" si="4"/>
        <v>71743.086186650005</v>
      </c>
      <c r="V14" s="19">
        <f t="shared" si="14"/>
        <v>124.82481170250001</v>
      </c>
      <c r="W14" s="19"/>
      <c r="X14" s="19">
        <f t="shared" si="13"/>
        <v>873.7736819175002</v>
      </c>
      <c r="Y14" s="11">
        <f t="shared" si="5"/>
        <v>873.7736819175002</v>
      </c>
      <c r="Z14" s="19">
        <v>3420.7503959923206</v>
      </c>
      <c r="AA14" s="21"/>
      <c r="AB14" s="21"/>
      <c r="AC14" s="21"/>
      <c r="AD14" s="16">
        <f t="shared" si="0"/>
        <v>5293.1225715298206</v>
      </c>
      <c r="AE14" s="17">
        <f t="shared" si="1"/>
        <v>66449.963615120185</v>
      </c>
    </row>
    <row r="15" spans="1:31" x14ac:dyDescent="0.25">
      <c r="A15" s="54"/>
      <c r="B15" s="7" t="s">
        <v>60</v>
      </c>
      <c r="C15" s="8" t="s">
        <v>32</v>
      </c>
      <c r="D15" s="9">
        <v>5</v>
      </c>
      <c r="E15" s="10">
        <f>10472.385*1.025</f>
        <v>10734.194625</v>
      </c>
      <c r="F15" s="10">
        <f t="shared" si="2"/>
        <v>21468.38925</v>
      </c>
      <c r="G15" s="10">
        <f t="shared" si="11"/>
        <v>10948.878517500001</v>
      </c>
      <c r="H15" s="10">
        <f t="shared" si="12"/>
        <v>21897.757035000002</v>
      </c>
      <c r="I15" s="12">
        <v>1100</v>
      </c>
      <c r="J15" s="12">
        <v>1133</v>
      </c>
      <c r="K15" s="12">
        <v>1140</v>
      </c>
      <c r="L15" s="12"/>
      <c r="M15" s="12">
        <v>1241.8</v>
      </c>
      <c r="N15" s="12">
        <f>632+100</f>
        <v>732</v>
      </c>
      <c r="O15" s="19">
        <f>525</f>
        <v>525</v>
      </c>
      <c r="P15" s="19">
        <v>713</v>
      </c>
      <c r="Q15" s="20">
        <f t="shared" si="7"/>
        <v>1459.8504690000002</v>
      </c>
      <c r="R15" s="38">
        <f t="shared" si="8"/>
        <v>9310</v>
      </c>
      <c r="S15" s="50">
        <f t="shared" si="9"/>
        <v>18334.004419500005</v>
      </c>
      <c r="T15" s="38">
        <f t="shared" si="10"/>
        <v>18334.004419500005</v>
      </c>
      <c r="U15" s="14">
        <f t="shared" si="4"/>
        <v>64971.537825500018</v>
      </c>
      <c r="V15" s="19">
        <f t="shared" si="14"/>
        <v>109.48878517500002</v>
      </c>
      <c r="W15" s="19"/>
      <c r="X15" s="19">
        <f t="shared" si="13"/>
        <v>766.42149622500017</v>
      </c>
      <c r="Y15" s="11">
        <f t="shared" si="5"/>
        <v>766.42149622500017</v>
      </c>
      <c r="Z15" s="19">
        <v>3109.8059224704002</v>
      </c>
      <c r="AA15" s="21">
        <f>2583</f>
        <v>2583</v>
      </c>
      <c r="AB15" s="22"/>
      <c r="AC15" s="22"/>
      <c r="AD15" s="16">
        <f t="shared" si="0"/>
        <v>7335.1377000954008</v>
      </c>
      <c r="AE15" s="17">
        <f t="shared" si="1"/>
        <v>57636.400125404616</v>
      </c>
    </row>
    <row r="16" spans="1:31" x14ac:dyDescent="0.25">
      <c r="A16" s="54"/>
      <c r="B16" s="7" t="s">
        <v>60</v>
      </c>
      <c r="C16" s="8" t="s">
        <v>33</v>
      </c>
      <c r="D16" s="9">
        <v>5</v>
      </c>
      <c r="E16" s="10">
        <f>10472.385*1.025</f>
        <v>10734.194625</v>
      </c>
      <c r="F16" s="10">
        <f t="shared" si="2"/>
        <v>21468.38925</v>
      </c>
      <c r="G16" s="10">
        <f t="shared" si="11"/>
        <v>10948.878517500001</v>
      </c>
      <c r="H16" s="10">
        <f t="shared" si="12"/>
        <v>21897.757035000002</v>
      </c>
      <c r="I16" s="12">
        <v>1100</v>
      </c>
      <c r="J16" s="12">
        <v>1133</v>
      </c>
      <c r="K16" s="12">
        <v>1140</v>
      </c>
      <c r="L16" s="12"/>
      <c r="M16" s="12">
        <v>1241.8</v>
      </c>
      <c r="N16" s="12">
        <f>632+100</f>
        <v>732</v>
      </c>
      <c r="O16" s="12"/>
      <c r="P16" s="19">
        <v>713</v>
      </c>
      <c r="Q16" s="20">
        <f t="shared" si="7"/>
        <v>1459.8504690000002</v>
      </c>
      <c r="R16" s="38">
        <f t="shared" si="8"/>
        <v>9310</v>
      </c>
      <c r="S16" s="50">
        <f t="shared" si="9"/>
        <v>18334.004419500005</v>
      </c>
      <c r="T16" s="38">
        <f t="shared" si="10"/>
        <v>18334.004419500005</v>
      </c>
      <c r="U16" s="14">
        <f t="shared" si="4"/>
        <v>64446.537825500018</v>
      </c>
      <c r="V16" s="19">
        <f t="shared" si="14"/>
        <v>109.48878517500002</v>
      </c>
      <c r="W16" s="19">
        <f>500</f>
        <v>500</v>
      </c>
      <c r="X16" s="19">
        <f t="shared" si="13"/>
        <v>766.42149622500017</v>
      </c>
      <c r="Y16" s="11">
        <f t="shared" si="5"/>
        <v>766.42149622500017</v>
      </c>
      <c r="Z16" s="19">
        <v>2986.3259224704002</v>
      </c>
      <c r="AA16" s="21"/>
      <c r="AB16" s="22"/>
      <c r="AC16" s="22"/>
      <c r="AD16" s="16">
        <f t="shared" si="0"/>
        <v>5128.6577000954003</v>
      </c>
      <c r="AE16" s="17">
        <f t="shared" si="1"/>
        <v>59317.880125404619</v>
      </c>
    </row>
    <row r="17" spans="1:31" x14ac:dyDescent="0.25">
      <c r="A17" s="54"/>
      <c r="B17" s="7" t="s">
        <v>60</v>
      </c>
      <c r="C17" s="8" t="s">
        <v>34</v>
      </c>
      <c r="D17" s="9">
        <v>4</v>
      </c>
      <c r="E17" s="10">
        <f>9192.729*1.025</f>
        <v>9422.5472249999984</v>
      </c>
      <c r="F17" s="10">
        <f t="shared" si="2"/>
        <v>18845.094449999997</v>
      </c>
      <c r="G17" s="10">
        <f t="shared" si="11"/>
        <v>9610.9981694999988</v>
      </c>
      <c r="H17" s="10">
        <f t="shared" si="12"/>
        <v>19221.996338999998</v>
      </c>
      <c r="I17" s="12">
        <v>1100</v>
      </c>
      <c r="J17" s="12">
        <v>1133</v>
      </c>
      <c r="K17" s="12">
        <v>1140</v>
      </c>
      <c r="L17" s="12"/>
      <c r="M17" s="12">
        <v>845.6</v>
      </c>
      <c r="N17" s="12">
        <f>615+100</f>
        <v>715</v>
      </c>
      <c r="O17" s="12">
        <v>150</v>
      </c>
      <c r="P17" s="19">
        <v>644</v>
      </c>
      <c r="Q17" s="20">
        <f t="shared" si="7"/>
        <v>1281.4664225999998</v>
      </c>
      <c r="R17" s="38">
        <f t="shared" si="8"/>
        <v>9310</v>
      </c>
      <c r="S17" s="50">
        <f t="shared" si="9"/>
        <v>16093.710660299999</v>
      </c>
      <c r="T17" s="38">
        <f t="shared" si="10"/>
        <v>16093.710660299999</v>
      </c>
      <c r="U17" s="14">
        <f t="shared" si="4"/>
        <v>58117.485912699995</v>
      </c>
      <c r="V17" s="19">
        <f t="shared" si="14"/>
        <v>96.109981694999988</v>
      </c>
      <c r="W17" s="19"/>
      <c r="X17" s="19">
        <f t="shared" si="13"/>
        <v>672.76987186500003</v>
      </c>
      <c r="Y17" s="11">
        <f t="shared" si="5"/>
        <v>672.76987186500003</v>
      </c>
      <c r="Z17" s="19">
        <v>2629.2517807641593</v>
      </c>
      <c r="AA17" s="21"/>
      <c r="AB17" s="22"/>
      <c r="AC17" s="22"/>
      <c r="AD17" s="16">
        <f t="shared" si="0"/>
        <v>4070.9015061891596</v>
      </c>
      <c r="AE17" s="17">
        <f t="shared" si="1"/>
        <v>54046.584406510832</v>
      </c>
    </row>
    <row r="18" spans="1:31" x14ac:dyDescent="0.25">
      <c r="A18" s="54"/>
      <c r="B18" s="7" t="s">
        <v>60</v>
      </c>
      <c r="C18" s="8" t="s">
        <v>35</v>
      </c>
      <c r="D18" s="9">
        <v>4</v>
      </c>
      <c r="E18" s="10">
        <f>9192.729*1.025</f>
        <v>9422.5472249999984</v>
      </c>
      <c r="F18" s="10">
        <f t="shared" si="2"/>
        <v>18845.094449999997</v>
      </c>
      <c r="G18" s="10">
        <f t="shared" si="11"/>
        <v>9610.9981694999988</v>
      </c>
      <c r="H18" s="10">
        <f t="shared" si="12"/>
        <v>19221.996338999998</v>
      </c>
      <c r="I18" s="12">
        <v>1100</v>
      </c>
      <c r="J18" s="12">
        <v>1133</v>
      </c>
      <c r="K18" s="12">
        <v>1140</v>
      </c>
      <c r="L18" s="12"/>
      <c r="M18" s="12">
        <v>845.6</v>
      </c>
      <c r="N18" s="12">
        <f>615+100</f>
        <v>715</v>
      </c>
      <c r="O18" s="12">
        <v>150</v>
      </c>
      <c r="P18" s="19">
        <v>644</v>
      </c>
      <c r="Q18" s="20">
        <f t="shared" si="7"/>
        <v>1281.4664225999998</v>
      </c>
      <c r="R18" s="38">
        <f t="shared" si="8"/>
        <v>9310</v>
      </c>
      <c r="S18" s="50">
        <f t="shared" si="9"/>
        <v>16093.710660299999</v>
      </c>
      <c r="T18" s="38">
        <f t="shared" si="10"/>
        <v>16093.710660299999</v>
      </c>
      <c r="U18" s="14">
        <f t="shared" si="4"/>
        <v>58117.485912699995</v>
      </c>
      <c r="V18" s="19">
        <f t="shared" si="14"/>
        <v>96.109981694999988</v>
      </c>
      <c r="W18" s="19">
        <f>500</f>
        <v>500</v>
      </c>
      <c r="X18" s="19">
        <f t="shared" si="13"/>
        <v>672.76987186500003</v>
      </c>
      <c r="Y18" s="11">
        <f t="shared" si="5"/>
        <v>672.76987186500003</v>
      </c>
      <c r="Z18" s="19">
        <v>2629.2517807641593</v>
      </c>
      <c r="AA18" s="21"/>
      <c r="AB18" s="22"/>
      <c r="AC18" s="22"/>
      <c r="AD18" s="16">
        <f t="shared" si="0"/>
        <v>4570.9015061891587</v>
      </c>
      <c r="AE18" s="17">
        <f t="shared" si="1"/>
        <v>53546.584406510839</v>
      </c>
    </row>
    <row r="19" spans="1:31" x14ac:dyDescent="0.25">
      <c r="A19" s="54"/>
      <c r="B19" s="7" t="s">
        <v>60</v>
      </c>
      <c r="C19" s="8" t="s">
        <v>36</v>
      </c>
      <c r="D19" s="9">
        <v>2</v>
      </c>
      <c r="E19" s="10">
        <f>7675.6365*1.025</f>
        <v>7867.5274124999987</v>
      </c>
      <c r="F19" s="10">
        <f t="shared" si="2"/>
        <v>15735.054824999997</v>
      </c>
      <c r="G19" s="10">
        <f t="shared" si="11"/>
        <v>8024.8779607499991</v>
      </c>
      <c r="H19" s="10">
        <f t="shared" si="12"/>
        <v>16049.755921499998</v>
      </c>
      <c r="I19" s="12">
        <v>1100</v>
      </c>
      <c r="J19" s="12">
        <v>1133</v>
      </c>
      <c r="K19" s="12">
        <v>1140</v>
      </c>
      <c r="L19" s="12"/>
      <c r="M19" s="12">
        <v>704.2</v>
      </c>
      <c r="N19" s="12">
        <f>595+100</f>
        <v>695</v>
      </c>
      <c r="O19" s="12">
        <v>150</v>
      </c>
      <c r="P19" s="19">
        <v>561</v>
      </c>
      <c r="Q19" s="20">
        <f t="shared" si="7"/>
        <v>1069.9837280999998</v>
      </c>
      <c r="R19" s="38">
        <f t="shared" si="8"/>
        <v>9310</v>
      </c>
      <c r="S19" s="50">
        <f t="shared" si="9"/>
        <v>13437.736820549999</v>
      </c>
      <c r="T19" s="38">
        <f t="shared" si="10"/>
        <v>13437.736820549999</v>
      </c>
      <c r="U19" s="14">
        <f t="shared" si="4"/>
        <v>50763.535329949991</v>
      </c>
      <c r="V19" s="19">
        <f t="shared" si="14"/>
        <v>80.248779607499998</v>
      </c>
      <c r="W19" s="19">
        <f>1000</f>
        <v>1000</v>
      </c>
      <c r="X19" s="19">
        <f t="shared" si="13"/>
        <v>561.74145725250003</v>
      </c>
      <c r="Y19" s="11">
        <f t="shared" si="5"/>
        <v>561.74145725250003</v>
      </c>
      <c r="Z19" s="19">
        <v>2230.08705857728</v>
      </c>
      <c r="AA19" s="21"/>
      <c r="AB19" s="22"/>
      <c r="AC19" s="22"/>
      <c r="AD19" s="16">
        <f t="shared" si="0"/>
        <v>4433.81875268978</v>
      </c>
      <c r="AE19" s="17">
        <f t="shared" si="1"/>
        <v>46329.716577260209</v>
      </c>
    </row>
    <row r="20" spans="1:31" x14ac:dyDescent="0.25">
      <c r="A20" s="54"/>
      <c r="B20" s="7" t="s">
        <v>60</v>
      </c>
      <c r="C20" s="8" t="s">
        <v>37</v>
      </c>
      <c r="D20" s="9">
        <v>2</v>
      </c>
      <c r="E20" s="10">
        <f>7675.6365*1.025</f>
        <v>7867.5274124999987</v>
      </c>
      <c r="F20" s="10">
        <f t="shared" si="2"/>
        <v>15735.054824999997</v>
      </c>
      <c r="G20" s="10">
        <f t="shared" si="11"/>
        <v>8024.8779607499991</v>
      </c>
      <c r="H20" s="10">
        <f t="shared" si="12"/>
        <v>16049.755921499998</v>
      </c>
      <c r="I20" s="12">
        <v>1100</v>
      </c>
      <c r="J20" s="12">
        <v>1133</v>
      </c>
      <c r="K20" s="12">
        <v>1140</v>
      </c>
      <c r="L20" s="12"/>
      <c r="M20" s="12">
        <v>704.2</v>
      </c>
      <c r="N20" s="12">
        <f>595+100</f>
        <v>695</v>
      </c>
      <c r="O20" s="12">
        <v>150</v>
      </c>
      <c r="P20" s="19">
        <v>561</v>
      </c>
      <c r="Q20" s="20">
        <f t="shared" si="7"/>
        <v>1069.9837280999998</v>
      </c>
      <c r="R20" s="38">
        <f t="shared" si="8"/>
        <v>9310</v>
      </c>
      <c r="S20" s="50">
        <f t="shared" si="9"/>
        <v>13437.736820549999</v>
      </c>
      <c r="T20" s="38">
        <f t="shared" si="10"/>
        <v>13437.736820549999</v>
      </c>
      <c r="U20" s="14">
        <f t="shared" si="4"/>
        <v>50763.535329949991</v>
      </c>
      <c r="V20" s="19">
        <f t="shared" si="14"/>
        <v>80.248779607499998</v>
      </c>
      <c r="W20" s="19">
        <f>500</f>
        <v>500</v>
      </c>
      <c r="X20" s="19">
        <f t="shared" si="13"/>
        <v>561.74145725250003</v>
      </c>
      <c r="Y20" s="11">
        <f t="shared" si="5"/>
        <v>561.74145725250003</v>
      </c>
      <c r="Z20" s="19">
        <v>2230.08705857728</v>
      </c>
      <c r="AA20" s="21"/>
      <c r="AB20" s="22">
        <f>966.64</f>
        <v>966.64</v>
      </c>
      <c r="AC20" s="22">
        <f>1933.28</f>
        <v>1933.28</v>
      </c>
      <c r="AD20" s="16">
        <f t="shared" si="0"/>
        <v>6833.7387526897801</v>
      </c>
      <c r="AE20" s="17">
        <f t="shared" si="1"/>
        <v>43929.796577260211</v>
      </c>
    </row>
    <row r="21" spans="1:31" ht="22.5" x14ac:dyDescent="0.25">
      <c r="A21" s="54"/>
      <c r="B21" s="7" t="s">
        <v>60</v>
      </c>
      <c r="C21" s="8" t="s">
        <v>38</v>
      </c>
      <c r="D21" s="9"/>
      <c r="E21" s="10">
        <f>7204.1865*1.025</f>
        <v>7384.2911624999988</v>
      </c>
      <c r="F21" s="10">
        <f t="shared" si="2"/>
        <v>14768.582324999998</v>
      </c>
      <c r="G21" s="10">
        <f t="shared" si="11"/>
        <v>7531.9769857499987</v>
      </c>
      <c r="H21" s="10">
        <f t="shared" si="12"/>
        <v>15063.953971499997</v>
      </c>
      <c r="I21" s="12">
        <v>1100</v>
      </c>
      <c r="J21" s="12">
        <v>1133</v>
      </c>
      <c r="K21" s="12">
        <v>1140</v>
      </c>
      <c r="L21" s="12"/>
      <c r="M21" s="12">
        <v>658</v>
      </c>
      <c r="N21" s="12">
        <f>589+100</f>
        <v>689</v>
      </c>
      <c r="O21" s="12">
        <v>150</v>
      </c>
      <c r="P21" s="19">
        <v>536</v>
      </c>
      <c r="Q21" s="20">
        <f t="shared" si="7"/>
        <v>1004.2635980999999</v>
      </c>
      <c r="R21" s="38">
        <f t="shared" si="8"/>
        <v>9310</v>
      </c>
      <c r="S21" s="50">
        <f t="shared" si="9"/>
        <v>12612.369305549999</v>
      </c>
      <c r="T21" s="38">
        <f t="shared" si="10"/>
        <v>12612.369305549999</v>
      </c>
      <c r="U21" s="14">
        <f t="shared" si="4"/>
        <v>48476.97919495</v>
      </c>
      <c r="V21" s="19">
        <f t="shared" si="14"/>
        <v>75.319769857499992</v>
      </c>
      <c r="W21" s="19">
        <f>500</f>
        <v>500</v>
      </c>
      <c r="X21" s="19">
        <f t="shared" si="13"/>
        <v>527.23838900249996</v>
      </c>
      <c r="Y21" s="11">
        <f t="shared" si="5"/>
        <v>527.23838900249996</v>
      </c>
      <c r="Z21" s="19">
        <v>2109.5395404332799</v>
      </c>
      <c r="AA21" s="21"/>
      <c r="AB21" s="22"/>
      <c r="AC21" s="22"/>
      <c r="AD21" s="16">
        <f t="shared" si="0"/>
        <v>3739.3360882957795</v>
      </c>
      <c r="AE21" s="17">
        <f t="shared" si="1"/>
        <v>44737.643106654221</v>
      </c>
    </row>
    <row r="22" spans="1:31" ht="22.5" x14ac:dyDescent="0.25">
      <c r="A22" s="54"/>
      <c r="B22" s="7" t="s">
        <v>60</v>
      </c>
      <c r="C22" s="8" t="s">
        <v>39</v>
      </c>
      <c r="D22" s="9">
        <v>1</v>
      </c>
      <c r="E22" s="10">
        <f>7204.1865*1.025</f>
        <v>7384.2911624999988</v>
      </c>
      <c r="F22" s="10">
        <f t="shared" si="2"/>
        <v>14768.582324999998</v>
      </c>
      <c r="G22" s="10">
        <f t="shared" si="11"/>
        <v>7531.9769857499987</v>
      </c>
      <c r="H22" s="10">
        <f t="shared" si="12"/>
        <v>15063.953971499997</v>
      </c>
      <c r="I22" s="12">
        <v>1100</v>
      </c>
      <c r="J22" s="12">
        <v>1133</v>
      </c>
      <c r="K22" s="12">
        <v>1140</v>
      </c>
      <c r="L22" s="12"/>
      <c r="M22" s="12">
        <v>658</v>
      </c>
      <c r="N22" s="12">
        <f>589+100</f>
        <v>689</v>
      </c>
      <c r="O22" s="12"/>
      <c r="P22" s="19">
        <v>536</v>
      </c>
      <c r="Q22" s="20">
        <f t="shared" si="7"/>
        <v>1004.2635980999999</v>
      </c>
      <c r="R22" s="38">
        <f t="shared" si="8"/>
        <v>9310</v>
      </c>
      <c r="S22" s="50">
        <f t="shared" si="9"/>
        <v>12612.369305549999</v>
      </c>
      <c r="T22" s="38">
        <f t="shared" si="10"/>
        <v>12612.369305549999</v>
      </c>
      <c r="U22" s="14">
        <f t="shared" si="4"/>
        <v>48326.97919495</v>
      </c>
      <c r="V22" s="19"/>
      <c r="W22" s="19"/>
      <c r="X22" s="19">
        <f t="shared" si="13"/>
        <v>527.23838900249996</v>
      </c>
      <c r="Y22" s="11">
        <f t="shared" si="5"/>
        <v>527.23838900249996</v>
      </c>
      <c r="Z22" s="19">
        <v>2077.4995404332799</v>
      </c>
      <c r="AA22" s="21"/>
      <c r="AB22" s="22"/>
      <c r="AC22" s="22"/>
      <c r="AD22" s="16">
        <f t="shared" si="0"/>
        <v>3131.97631843828</v>
      </c>
      <c r="AE22" s="17">
        <f t="shared" si="1"/>
        <v>45195.002876511717</v>
      </c>
    </row>
    <row r="23" spans="1:31" ht="22.5" x14ac:dyDescent="0.25">
      <c r="A23" s="54"/>
      <c r="B23" s="7" t="s">
        <v>61</v>
      </c>
      <c r="C23" s="8" t="s">
        <v>40</v>
      </c>
      <c r="D23" s="9"/>
      <c r="E23" s="10">
        <f>6069.96</f>
        <v>6069.96</v>
      </c>
      <c r="F23" s="10">
        <f t="shared" si="2"/>
        <v>12139.92</v>
      </c>
      <c r="G23" s="10">
        <f>+E23</f>
        <v>6069.96</v>
      </c>
      <c r="H23" s="30">
        <f>+F23</f>
        <v>12139.92</v>
      </c>
      <c r="I23" s="25"/>
      <c r="J23" s="25"/>
      <c r="K23" s="25"/>
      <c r="L23" s="25"/>
      <c r="M23" s="26"/>
      <c r="N23" s="26"/>
      <c r="O23" s="25"/>
      <c r="P23" s="26"/>
      <c r="Q23" s="27"/>
      <c r="R23" s="39"/>
      <c r="S23" s="39"/>
      <c r="T23" s="39"/>
      <c r="U23" s="14">
        <f t="shared" si="4"/>
        <v>6069.96</v>
      </c>
      <c r="V23" s="19"/>
      <c r="W23" s="26"/>
      <c r="X23" s="26"/>
      <c r="Y23" s="11"/>
      <c r="Z23" s="19">
        <v>527.76699999999994</v>
      </c>
      <c r="AA23" s="21"/>
      <c r="AB23" s="22"/>
      <c r="AC23" s="22"/>
      <c r="AD23" s="16">
        <f t="shared" si="0"/>
        <v>527.76699999999994</v>
      </c>
      <c r="AE23" s="17">
        <f t="shared" si="1"/>
        <v>5542.1930000000002</v>
      </c>
    </row>
    <row r="24" spans="1:31" x14ac:dyDescent="0.25">
      <c r="A24" s="54"/>
      <c r="B24" s="7" t="s">
        <v>61</v>
      </c>
      <c r="C24" s="23" t="s">
        <v>41</v>
      </c>
      <c r="D24" s="29"/>
      <c r="E24" s="30">
        <f>3018.5</f>
        <v>3018.5</v>
      </c>
      <c r="F24" s="10">
        <f t="shared" si="2"/>
        <v>6037</v>
      </c>
      <c r="G24" s="10">
        <f>+E24</f>
        <v>3018.5</v>
      </c>
      <c r="H24" s="30">
        <f>+F24</f>
        <v>6037</v>
      </c>
      <c r="I24" s="25"/>
      <c r="J24" s="25"/>
      <c r="K24" s="25"/>
      <c r="L24" s="25"/>
      <c r="M24" s="26"/>
      <c r="N24" s="26"/>
      <c r="O24" s="25"/>
      <c r="P24" s="26"/>
      <c r="Q24" s="26"/>
      <c r="R24" s="39"/>
      <c r="S24" s="39"/>
      <c r="T24" s="39"/>
      <c r="U24" s="14">
        <f t="shared" si="4"/>
        <v>3018.5</v>
      </c>
      <c r="V24" s="19"/>
      <c r="W24" s="26"/>
      <c r="X24" s="26"/>
      <c r="Y24" s="11"/>
      <c r="Z24" s="19">
        <v>176.47039999999998</v>
      </c>
      <c r="AA24" s="21"/>
      <c r="AB24" s="22"/>
      <c r="AC24" s="22"/>
      <c r="AD24" s="16">
        <f t="shared" si="0"/>
        <v>176.47039999999998</v>
      </c>
      <c r="AE24" s="17">
        <f t="shared" si="1"/>
        <v>2842.0295999999998</v>
      </c>
    </row>
    <row r="25" spans="1:31" ht="15.75" thickBot="1" x14ac:dyDescent="0.3">
      <c r="B25" s="31" t="s">
        <v>42</v>
      </c>
      <c r="C25" s="32"/>
      <c r="D25" s="33"/>
      <c r="E25" s="34">
        <f t="shared" ref="E25:AE25" si="15">SUM(E4:E24)</f>
        <v>238122.87256449627</v>
      </c>
      <c r="F25" s="34">
        <f t="shared" si="15"/>
        <v>476245.74512899254</v>
      </c>
      <c r="G25" s="34">
        <f t="shared" si="15"/>
        <v>240593.14001578619</v>
      </c>
      <c r="H25" s="34">
        <f t="shared" si="15"/>
        <v>481186.28003157239</v>
      </c>
      <c r="I25" s="34">
        <f t="shared" si="15"/>
        <v>17400</v>
      </c>
      <c r="J25" s="34">
        <f t="shared" si="15"/>
        <v>17196</v>
      </c>
      <c r="K25" s="34">
        <f t="shared" si="15"/>
        <v>17280</v>
      </c>
      <c r="L25" s="34">
        <f t="shared" si="15"/>
        <v>12200</v>
      </c>
      <c r="M25" s="34">
        <f t="shared" si="15"/>
        <v>25470.2</v>
      </c>
      <c r="N25" s="34">
        <f t="shared" si="15"/>
        <v>11587</v>
      </c>
      <c r="O25" s="34">
        <f t="shared" si="15"/>
        <v>1825</v>
      </c>
      <c r="P25" s="34">
        <f t="shared" si="15"/>
        <v>8277</v>
      </c>
      <c r="Q25" s="34">
        <f t="shared" si="15"/>
        <v>24317.729335438155</v>
      </c>
      <c r="R25" s="34">
        <f t="shared" si="15"/>
        <v>140920</v>
      </c>
      <c r="S25" s="34">
        <f t="shared" si="15"/>
        <v>210960.84034015966</v>
      </c>
      <c r="T25" s="34">
        <f t="shared" si="15"/>
        <v>210960.84034015966</v>
      </c>
      <c r="U25" s="34">
        <f t="shared" si="15"/>
        <v>938987.75003154355</v>
      </c>
      <c r="V25" s="34">
        <f t="shared" si="15"/>
        <v>1030.273034805</v>
      </c>
      <c r="W25" s="34">
        <f t="shared" si="15"/>
        <v>4000</v>
      </c>
      <c r="X25" s="34">
        <f t="shared" si="15"/>
        <v>8818.8548011050352</v>
      </c>
      <c r="Y25" s="34">
        <f t="shared" si="15"/>
        <v>16205.327601105038</v>
      </c>
      <c r="Z25" s="34">
        <f t="shared" si="15"/>
        <v>59759.803425625716</v>
      </c>
      <c r="AA25" s="34">
        <f t="shared" si="15"/>
        <v>2583</v>
      </c>
      <c r="AB25" s="34">
        <f t="shared" si="15"/>
        <v>1933.28</v>
      </c>
      <c r="AC25" s="34">
        <f t="shared" si="15"/>
        <v>1933.28</v>
      </c>
      <c r="AD25" s="34">
        <f t="shared" si="15"/>
        <v>96263.818862640808</v>
      </c>
      <c r="AE25" s="34">
        <f t="shared" si="15"/>
        <v>842723.93116890267</v>
      </c>
    </row>
    <row r="26" spans="1:31" x14ac:dyDescent="0.25"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9" spans="1:31" x14ac:dyDescent="0.25">
      <c r="B29" t="s">
        <v>58</v>
      </c>
      <c r="C29" t="s">
        <v>54</v>
      </c>
    </row>
    <row r="30" spans="1:31" x14ac:dyDescent="0.25">
      <c r="B30" t="s">
        <v>59</v>
      </c>
      <c r="C30" t="s">
        <v>55</v>
      </c>
    </row>
    <row r="31" spans="1:31" x14ac:dyDescent="0.25">
      <c r="B31" t="s">
        <v>60</v>
      </c>
      <c r="C31" t="s">
        <v>62</v>
      </c>
    </row>
    <row r="32" spans="1:31" x14ac:dyDescent="0.25">
      <c r="B32" t="s">
        <v>61</v>
      </c>
      <c r="C32" t="s">
        <v>63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2"/>
  <sheetViews>
    <sheetView workbookViewId="0">
      <selection activeCell="AD16" sqref="AD16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6" width="10.5703125" hidden="1" customWidth="1"/>
    <col min="7" max="8" width="10.5703125" customWidth="1"/>
    <col min="9" max="18" width="9.28515625" customWidth="1"/>
    <col min="19" max="19" width="11.5703125" bestFit="1" customWidth="1"/>
    <col min="20" max="20" width="7.42578125" customWidth="1"/>
    <col min="21" max="22" width="8.7109375" bestFit="1" customWidth="1"/>
    <col min="23" max="23" width="9" customWidth="1"/>
    <col min="24" max="24" width="9.5703125" customWidth="1"/>
    <col min="25" max="25" width="7.85546875" customWidth="1"/>
    <col min="26" max="27" width="10.140625" customWidth="1"/>
    <col min="28" max="28" width="9.5703125" customWidth="1"/>
    <col min="29" max="29" width="10.28515625" bestFit="1" customWidth="1"/>
  </cols>
  <sheetData>
    <row r="1" spans="2:29" ht="15.75" customHeight="1" x14ac:dyDescent="0.25">
      <c r="E1" s="1"/>
      <c r="F1" s="1"/>
      <c r="G1" s="1"/>
      <c r="H1" s="1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Z1" s="57"/>
      <c r="AA1" s="57"/>
      <c r="AB1" s="57"/>
      <c r="AC1" s="57"/>
    </row>
    <row r="2" spans="2:29" ht="18.75" x14ac:dyDescent="0.25">
      <c r="E2" s="1"/>
      <c r="F2" s="1"/>
      <c r="G2" s="1"/>
      <c r="H2" s="1"/>
      <c r="I2" s="2" t="s">
        <v>95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9" ht="16.5" thickBot="1" x14ac:dyDescent="0.3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29" ht="48.75" customHeight="1" x14ac:dyDescent="0.25">
      <c r="B4" s="40"/>
      <c r="C4" s="40"/>
      <c r="D4" s="3" t="s">
        <v>1</v>
      </c>
      <c r="E4" s="48" t="s">
        <v>2</v>
      </c>
      <c r="F4" s="49"/>
      <c r="G4" s="55"/>
      <c r="H4" s="55"/>
      <c r="I4" s="45" t="s">
        <v>43</v>
      </c>
      <c r="J4" s="45" t="s">
        <v>44</v>
      </c>
      <c r="K4" s="45" t="s">
        <v>45</v>
      </c>
      <c r="L4" s="45" t="s">
        <v>46</v>
      </c>
      <c r="M4" s="45" t="s">
        <v>47</v>
      </c>
      <c r="N4" s="45" t="s">
        <v>48</v>
      </c>
      <c r="O4" s="45" t="s">
        <v>9</v>
      </c>
      <c r="P4" s="45" t="s">
        <v>49</v>
      </c>
      <c r="Q4" s="45" t="s">
        <v>50</v>
      </c>
      <c r="R4" s="46" t="s">
        <v>84</v>
      </c>
      <c r="S4" s="41"/>
      <c r="T4" s="4" t="s">
        <v>13</v>
      </c>
      <c r="U4" s="4" t="s">
        <v>14</v>
      </c>
      <c r="V4" s="4" t="s">
        <v>15</v>
      </c>
      <c r="W4" s="4" t="s">
        <v>16</v>
      </c>
      <c r="X4" s="4" t="s">
        <v>17</v>
      </c>
      <c r="Y4" s="5" t="s">
        <v>18</v>
      </c>
      <c r="Z4" s="42" t="s">
        <v>0</v>
      </c>
      <c r="AA4" s="42" t="s">
        <v>91</v>
      </c>
      <c r="AB4" s="42"/>
      <c r="AC4" s="43"/>
    </row>
    <row r="5" spans="2:29" x14ac:dyDescent="0.25">
      <c r="B5" s="7" t="s">
        <v>58</v>
      </c>
      <c r="C5" s="8" t="s">
        <v>21</v>
      </c>
      <c r="D5" s="9">
        <v>17</v>
      </c>
      <c r="E5" s="10">
        <f>38573.38/2</f>
        <v>19286.689999999999</v>
      </c>
      <c r="F5" s="10">
        <f>+E5*2</f>
        <v>38573.379999999997</v>
      </c>
      <c r="G5" s="10">
        <f>+E5</f>
        <v>19286.689999999999</v>
      </c>
      <c r="H5" s="10">
        <f>+F5</f>
        <v>38573.379999999997</v>
      </c>
      <c r="I5" s="12"/>
      <c r="J5" s="11">
        <v>300</v>
      </c>
      <c r="K5" s="12"/>
      <c r="L5" s="11"/>
      <c r="M5" s="11"/>
      <c r="N5" s="11"/>
      <c r="O5" s="11"/>
      <c r="P5" s="11"/>
      <c r="Q5" s="11"/>
      <c r="R5" s="13"/>
      <c r="S5" s="14">
        <f>SUM(I5:R5)+G5</f>
        <v>19586.689999999999</v>
      </c>
      <c r="T5" s="11"/>
      <c r="U5" s="11"/>
      <c r="V5" s="11"/>
      <c r="W5" s="11">
        <f>(G5*0.07)</f>
        <v>1350.0683000000001</v>
      </c>
      <c r="X5" s="11">
        <v>3400.1570879999995</v>
      </c>
      <c r="Y5" s="15"/>
      <c r="Z5" s="16"/>
      <c r="AA5" s="16"/>
      <c r="AB5" s="16">
        <f t="shared" ref="AB5:AB25" si="0">SUM(T5:AA5)</f>
        <v>4750.2253879999998</v>
      </c>
      <c r="AC5" s="17">
        <f t="shared" ref="AC5:AC25" si="1">+S5-AB5</f>
        <v>14836.464612</v>
      </c>
    </row>
    <row r="6" spans="2:29" x14ac:dyDescent="0.25">
      <c r="B6" s="7" t="s">
        <v>58</v>
      </c>
      <c r="C6" s="8" t="s">
        <v>22</v>
      </c>
      <c r="D6" s="9">
        <v>14</v>
      </c>
      <c r="E6" s="10">
        <f>14917.51</f>
        <v>14917.51</v>
      </c>
      <c r="F6" s="10">
        <f t="shared" ref="F6:F25" si="2">+E6*2</f>
        <v>29835.02</v>
      </c>
      <c r="G6" s="10">
        <f t="shared" ref="G6:H11" si="3">+E6</f>
        <v>14917.51</v>
      </c>
      <c r="H6" s="10">
        <f t="shared" si="3"/>
        <v>29835.02</v>
      </c>
      <c r="I6" s="12"/>
      <c r="J6" s="19">
        <v>300</v>
      </c>
      <c r="K6" s="12"/>
      <c r="L6" s="19"/>
      <c r="M6" s="19"/>
      <c r="N6" s="19"/>
      <c r="O6" s="19"/>
      <c r="P6" s="19"/>
      <c r="Q6" s="19"/>
      <c r="R6" s="20"/>
      <c r="S6" s="14">
        <f t="shared" ref="S6:S25" si="4">SUM(I6:R6)+G6</f>
        <v>15217.51</v>
      </c>
      <c r="T6" s="19"/>
      <c r="U6" s="19"/>
      <c r="V6" s="19"/>
      <c r="W6" s="11">
        <f t="shared" ref="W6:W23" si="5">(G6*0.07)</f>
        <v>1044.2257000000002</v>
      </c>
      <c r="X6" s="19">
        <v>2384.42164</v>
      </c>
      <c r="Y6" s="21"/>
      <c r="Z6" s="22"/>
      <c r="AA6" s="22"/>
      <c r="AB6" s="16">
        <f t="shared" si="0"/>
        <v>3428.6473400000004</v>
      </c>
      <c r="AC6" s="17">
        <f t="shared" si="1"/>
        <v>11788.862659999999</v>
      </c>
    </row>
    <row r="7" spans="2:29" x14ac:dyDescent="0.25">
      <c r="B7" s="7" t="s">
        <v>58</v>
      </c>
      <c r="C7" s="8" t="s">
        <v>23</v>
      </c>
      <c r="D7" s="9">
        <v>14</v>
      </c>
      <c r="E7" s="10">
        <f>14917.51</f>
        <v>14917.51</v>
      </c>
      <c r="F7" s="10">
        <f t="shared" si="2"/>
        <v>29835.02</v>
      </c>
      <c r="G7" s="10">
        <f t="shared" si="3"/>
        <v>14917.51</v>
      </c>
      <c r="H7" s="10">
        <f t="shared" si="3"/>
        <v>29835.02</v>
      </c>
      <c r="I7" s="12"/>
      <c r="J7" s="19">
        <v>300</v>
      </c>
      <c r="K7" s="12"/>
      <c r="L7" s="19"/>
      <c r="M7" s="19"/>
      <c r="N7" s="19"/>
      <c r="O7" s="19"/>
      <c r="P7" s="19"/>
      <c r="Q7" s="19"/>
      <c r="R7" s="20"/>
      <c r="S7" s="14">
        <f t="shared" si="4"/>
        <v>15217.51</v>
      </c>
      <c r="T7" s="19"/>
      <c r="U7" s="19"/>
      <c r="V7" s="19"/>
      <c r="W7" s="11">
        <f t="shared" si="5"/>
        <v>1044.2257000000002</v>
      </c>
      <c r="X7" s="19">
        <v>2384.42164</v>
      </c>
      <c r="Y7" s="21"/>
      <c r="Z7" s="22"/>
      <c r="AA7" s="22"/>
      <c r="AB7" s="16">
        <f t="shared" si="0"/>
        <v>3428.6473400000004</v>
      </c>
      <c r="AC7" s="17">
        <f t="shared" si="1"/>
        <v>11788.862659999999</v>
      </c>
    </row>
    <row r="8" spans="2:29" x14ac:dyDescent="0.25">
      <c r="B8" s="7" t="s">
        <v>59</v>
      </c>
      <c r="C8" s="8" t="s">
        <v>24</v>
      </c>
      <c r="D8" s="9">
        <v>13</v>
      </c>
      <c r="E8" s="10">
        <f>15022.1</f>
        <v>15022.1</v>
      </c>
      <c r="F8" s="10">
        <f t="shared" si="2"/>
        <v>30044.2</v>
      </c>
      <c r="G8" s="10">
        <f>+E8</f>
        <v>15022.1</v>
      </c>
      <c r="H8" s="10">
        <f t="shared" si="3"/>
        <v>30044.2</v>
      </c>
      <c r="I8" s="37">
        <v>900</v>
      </c>
      <c r="J8" s="37">
        <v>900</v>
      </c>
      <c r="K8" s="37">
        <v>900</v>
      </c>
      <c r="L8" s="12">
        <v>1000</v>
      </c>
      <c r="M8" s="19"/>
      <c r="N8" s="19">
        <v>750</v>
      </c>
      <c r="O8" s="12"/>
      <c r="P8" s="19"/>
      <c r="Q8" s="19"/>
      <c r="R8" s="20"/>
      <c r="S8" s="14">
        <f t="shared" si="4"/>
        <v>19472.099999999999</v>
      </c>
      <c r="T8" s="19"/>
      <c r="U8" s="19"/>
      <c r="V8" s="19"/>
      <c r="W8" s="11">
        <f t="shared" si="5"/>
        <v>1051.547</v>
      </c>
      <c r="X8" s="19">
        <v>2779.3255199999994</v>
      </c>
      <c r="Y8" s="21"/>
      <c r="Z8" s="22"/>
      <c r="AA8" s="22"/>
      <c r="AB8" s="16">
        <f t="shared" si="0"/>
        <v>3830.8725199999994</v>
      </c>
      <c r="AC8" s="17">
        <f t="shared" si="1"/>
        <v>15641.22748</v>
      </c>
    </row>
    <row r="9" spans="2:29" ht="15" customHeight="1" x14ac:dyDescent="0.25">
      <c r="B9" s="7" t="s">
        <v>59</v>
      </c>
      <c r="C9" s="8" t="s">
        <v>25</v>
      </c>
      <c r="D9" s="9">
        <v>13</v>
      </c>
      <c r="E9" s="10">
        <f>15022.1</f>
        <v>15022.1</v>
      </c>
      <c r="F9" s="10">
        <f t="shared" si="2"/>
        <v>30044.2</v>
      </c>
      <c r="G9" s="10">
        <f t="shared" ref="G9:G11" si="6">+E9</f>
        <v>15022.1</v>
      </c>
      <c r="H9" s="10">
        <f t="shared" si="3"/>
        <v>30044.2</v>
      </c>
      <c r="I9" s="37">
        <v>900</v>
      </c>
      <c r="J9" s="37">
        <v>900</v>
      </c>
      <c r="K9" s="37">
        <v>900</v>
      </c>
      <c r="L9" s="12">
        <v>1000</v>
      </c>
      <c r="M9" s="19"/>
      <c r="N9" s="19">
        <v>750</v>
      </c>
      <c r="O9" s="12"/>
      <c r="P9" s="19"/>
      <c r="Q9" s="19"/>
      <c r="R9" s="20"/>
      <c r="S9" s="14">
        <f t="shared" si="4"/>
        <v>19472.099999999999</v>
      </c>
      <c r="T9" s="19"/>
      <c r="U9" s="19"/>
      <c r="V9" s="19"/>
      <c r="W9" s="11">
        <f t="shared" si="5"/>
        <v>1051.547</v>
      </c>
      <c r="X9" s="19">
        <v>2779.3255199999994</v>
      </c>
      <c r="Y9" s="21"/>
      <c r="Z9" s="22"/>
      <c r="AA9" s="22"/>
      <c r="AB9" s="16">
        <f t="shared" si="0"/>
        <v>3830.8725199999994</v>
      </c>
      <c r="AC9" s="17">
        <f t="shared" si="1"/>
        <v>15641.22748</v>
      </c>
    </row>
    <row r="10" spans="2:29" ht="15" customHeight="1" x14ac:dyDescent="0.25">
      <c r="B10" s="7" t="s">
        <v>59</v>
      </c>
      <c r="C10" s="8" t="s">
        <v>26</v>
      </c>
      <c r="D10" s="9">
        <v>13</v>
      </c>
      <c r="E10" s="10">
        <f>15022.1</f>
        <v>15022.1</v>
      </c>
      <c r="F10" s="10">
        <f t="shared" si="2"/>
        <v>30044.2</v>
      </c>
      <c r="G10" s="10">
        <f t="shared" si="6"/>
        <v>15022.1</v>
      </c>
      <c r="H10" s="10">
        <f t="shared" si="3"/>
        <v>30044.2</v>
      </c>
      <c r="I10" s="37">
        <v>900</v>
      </c>
      <c r="J10" s="37">
        <v>900</v>
      </c>
      <c r="K10" s="37">
        <v>900</v>
      </c>
      <c r="L10" s="12">
        <v>1000</v>
      </c>
      <c r="M10" s="19"/>
      <c r="N10" s="19">
        <v>750</v>
      </c>
      <c r="O10" s="12"/>
      <c r="P10" s="19"/>
      <c r="Q10" s="19"/>
      <c r="R10" s="20"/>
      <c r="S10" s="14">
        <f t="shared" si="4"/>
        <v>19472.099999999999</v>
      </c>
      <c r="T10" s="19"/>
      <c r="U10" s="19"/>
      <c r="V10" s="19"/>
      <c r="W10" s="11">
        <f t="shared" si="5"/>
        <v>1051.547</v>
      </c>
      <c r="X10" s="19">
        <v>2779.3255199999994</v>
      </c>
      <c r="Y10" s="21"/>
      <c r="Z10" s="22"/>
      <c r="AA10" s="22"/>
      <c r="AB10" s="16">
        <f t="shared" si="0"/>
        <v>3830.8725199999994</v>
      </c>
      <c r="AC10" s="17">
        <f t="shared" si="1"/>
        <v>15641.22748</v>
      </c>
    </row>
    <row r="11" spans="2:29" ht="15" customHeight="1" x14ac:dyDescent="0.25">
      <c r="B11" s="7" t="s">
        <v>59</v>
      </c>
      <c r="C11" s="8" t="s">
        <v>27</v>
      </c>
      <c r="D11" s="9">
        <v>9</v>
      </c>
      <c r="E11" s="10">
        <f>11333.03</f>
        <v>11333.03</v>
      </c>
      <c r="F11" s="10">
        <f t="shared" si="2"/>
        <v>22666.06</v>
      </c>
      <c r="G11" s="10">
        <f t="shared" si="6"/>
        <v>11333.03</v>
      </c>
      <c r="H11" s="10">
        <f t="shared" si="3"/>
        <v>22666.06</v>
      </c>
      <c r="I11" s="37">
        <v>900</v>
      </c>
      <c r="J11" s="37">
        <v>900</v>
      </c>
      <c r="K11" s="37">
        <v>900</v>
      </c>
      <c r="L11" s="12">
        <v>1000</v>
      </c>
      <c r="M11" s="19"/>
      <c r="N11" s="19">
        <v>566</v>
      </c>
      <c r="O11" s="12"/>
      <c r="P11" s="19"/>
      <c r="Q11" s="19"/>
      <c r="R11" s="20"/>
      <c r="S11" s="14">
        <f t="shared" si="4"/>
        <v>15599.03</v>
      </c>
      <c r="T11" s="19"/>
      <c r="U11" s="19"/>
      <c r="V11" s="19"/>
      <c r="W11" s="11">
        <f t="shared" si="5"/>
        <v>793.3121000000001</v>
      </c>
      <c r="X11" s="19">
        <v>1946.2255120000004</v>
      </c>
      <c r="Y11" s="21"/>
      <c r="Z11" s="22"/>
      <c r="AA11" s="22"/>
      <c r="AB11" s="16">
        <f t="shared" si="0"/>
        <v>2739.5376120000005</v>
      </c>
      <c r="AC11" s="17">
        <f t="shared" si="1"/>
        <v>12859.492388000001</v>
      </c>
    </row>
    <row r="12" spans="2:29" ht="15" customHeight="1" x14ac:dyDescent="0.25">
      <c r="B12" s="7" t="s">
        <v>60</v>
      </c>
      <c r="C12" s="8" t="s">
        <v>28</v>
      </c>
      <c r="D12" s="9">
        <v>10</v>
      </c>
      <c r="E12" s="10">
        <f>14753.0937824354*1.025</f>
        <v>15121.921126996283</v>
      </c>
      <c r="F12" s="10">
        <f t="shared" si="2"/>
        <v>30243.842253992567</v>
      </c>
      <c r="G12" s="10">
        <f>+E12*1.02</f>
        <v>15424.35954953621</v>
      </c>
      <c r="H12" s="10">
        <f>+G12*2</f>
        <v>30848.719099072419</v>
      </c>
      <c r="I12" s="12">
        <v>1133</v>
      </c>
      <c r="J12" s="12">
        <v>1133</v>
      </c>
      <c r="K12" s="12">
        <v>1133</v>
      </c>
      <c r="L12" s="12">
        <v>1000</v>
      </c>
      <c r="M12" s="19"/>
      <c r="N12" s="19">
        <v>606</v>
      </c>
      <c r="O12" s="12"/>
      <c r="P12" s="19">
        <v>999</v>
      </c>
      <c r="Q12" s="19"/>
      <c r="R12" s="20"/>
      <c r="S12" s="14">
        <f t="shared" si="4"/>
        <v>21428.35954953621</v>
      </c>
      <c r="T12" s="19"/>
      <c r="U12" s="19"/>
      <c r="V12" s="19">
        <f>(G12*0.07)</f>
        <v>1079.7051684675348</v>
      </c>
      <c r="W12" s="11">
        <f t="shared" si="5"/>
        <v>1079.7051684675348</v>
      </c>
      <c r="X12" s="19">
        <v>3029.2865660509165</v>
      </c>
      <c r="Y12" s="21"/>
      <c r="Z12" s="22"/>
      <c r="AA12" s="22"/>
      <c r="AB12" s="16">
        <f t="shared" si="0"/>
        <v>5188.6969029859865</v>
      </c>
      <c r="AC12" s="17">
        <f t="shared" si="1"/>
        <v>16239.662646550223</v>
      </c>
    </row>
    <row r="13" spans="2:29" ht="15" customHeight="1" x14ac:dyDescent="0.25">
      <c r="B13" s="7" t="s">
        <v>60</v>
      </c>
      <c r="C13" s="8" t="s">
        <v>29</v>
      </c>
      <c r="D13" s="9">
        <v>8</v>
      </c>
      <c r="E13" s="10">
        <f>12779.3925*1.025</f>
        <v>13098.877312499999</v>
      </c>
      <c r="F13" s="10">
        <f t="shared" si="2"/>
        <v>26197.754624999998</v>
      </c>
      <c r="G13" s="10">
        <f t="shared" ref="G13:G23" si="7">+E13*1.02</f>
        <v>13360.854858749999</v>
      </c>
      <c r="H13" s="10">
        <f t="shared" ref="H13:H23" si="8">+G13*2</f>
        <v>26721.709717499998</v>
      </c>
      <c r="I13" s="12">
        <v>1133</v>
      </c>
      <c r="J13" s="12">
        <v>1133</v>
      </c>
      <c r="K13" s="12">
        <v>1133</v>
      </c>
      <c r="L13" s="12">
        <v>1000</v>
      </c>
      <c r="M13" s="11"/>
      <c r="N13" s="19">
        <v>525</v>
      </c>
      <c r="O13" s="12">
        <f>225</f>
        <v>225</v>
      </c>
      <c r="P13" s="12">
        <v>925</v>
      </c>
      <c r="Q13" s="12"/>
      <c r="R13" s="38"/>
      <c r="S13" s="14">
        <f t="shared" si="4"/>
        <v>19434.854858749997</v>
      </c>
      <c r="T13" s="19">
        <f>(G13*0.01)</f>
        <v>133.6085485875</v>
      </c>
      <c r="U13" s="19">
        <f>1000</f>
        <v>1000</v>
      </c>
      <c r="V13" s="19">
        <f t="shared" ref="V13:V23" si="9">(G13*0.07)</f>
        <v>935.2598401125</v>
      </c>
      <c r="W13" s="11">
        <f t="shared" si="5"/>
        <v>935.2598401125</v>
      </c>
      <c r="X13" s="19">
        <v>2605.1022627779998</v>
      </c>
      <c r="Y13" s="21"/>
      <c r="Z13" s="22">
        <f>966.64</f>
        <v>966.64</v>
      </c>
      <c r="AA13" s="22"/>
      <c r="AB13" s="16">
        <f t="shared" si="0"/>
        <v>6575.8704915905009</v>
      </c>
      <c r="AC13" s="17">
        <f t="shared" si="1"/>
        <v>12858.984367159497</v>
      </c>
    </row>
    <row r="14" spans="2:29" ht="22.5" x14ac:dyDescent="0.25">
      <c r="B14" s="7" t="s">
        <v>60</v>
      </c>
      <c r="C14" s="23" t="s">
        <v>30</v>
      </c>
      <c r="D14" s="24">
        <v>7</v>
      </c>
      <c r="E14" s="10">
        <f>11939.2455*1.025</f>
        <v>12237.7266375</v>
      </c>
      <c r="F14" s="10">
        <f t="shared" si="2"/>
        <v>24475.453275</v>
      </c>
      <c r="G14" s="10">
        <f t="shared" si="7"/>
        <v>12482.481170250001</v>
      </c>
      <c r="H14" s="10">
        <f t="shared" si="8"/>
        <v>24964.962340500002</v>
      </c>
      <c r="I14" s="12">
        <v>1133</v>
      </c>
      <c r="J14" s="12">
        <v>1133</v>
      </c>
      <c r="K14" s="12">
        <v>1133</v>
      </c>
      <c r="L14" s="12">
        <v>1000</v>
      </c>
      <c r="M14" s="11">
        <v>295</v>
      </c>
      <c r="N14" s="19">
        <v>491</v>
      </c>
      <c r="O14" s="19">
        <v>325</v>
      </c>
      <c r="P14" s="19">
        <v>893</v>
      </c>
      <c r="Q14" s="19"/>
      <c r="R14" s="20"/>
      <c r="S14" s="14">
        <f t="shared" si="4"/>
        <v>18885.481170250001</v>
      </c>
      <c r="T14" s="19">
        <f t="shared" ref="T14:T22" si="10">(G14*0.01)</f>
        <v>124.82481170250001</v>
      </c>
      <c r="U14" s="19"/>
      <c r="V14" s="19">
        <f t="shared" si="9"/>
        <v>873.7736819175002</v>
      </c>
      <c r="W14" s="11">
        <f t="shared" si="5"/>
        <v>873.7736819175002</v>
      </c>
      <c r="X14" s="19">
        <v>2464.5154819654003</v>
      </c>
      <c r="Y14" s="22"/>
      <c r="Z14" s="21"/>
      <c r="AA14" s="21"/>
      <c r="AB14" s="16">
        <f t="shared" si="0"/>
        <v>4336.8876575029008</v>
      </c>
      <c r="AC14" s="17">
        <f t="shared" si="1"/>
        <v>14548.5935127471</v>
      </c>
    </row>
    <row r="15" spans="2:29" x14ac:dyDescent="0.25">
      <c r="B15" s="7" t="s">
        <v>60</v>
      </c>
      <c r="C15" s="23" t="s">
        <v>31</v>
      </c>
      <c r="D15" s="24">
        <v>7</v>
      </c>
      <c r="E15" s="10">
        <f>11939.2455*1.025</f>
        <v>12237.7266375</v>
      </c>
      <c r="F15" s="10">
        <f t="shared" si="2"/>
        <v>24475.453275</v>
      </c>
      <c r="G15" s="10">
        <f t="shared" si="7"/>
        <v>12482.481170250001</v>
      </c>
      <c r="H15" s="10">
        <f t="shared" si="8"/>
        <v>24964.962340500002</v>
      </c>
      <c r="I15" s="12">
        <v>1133</v>
      </c>
      <c r="J15" s="12">
        <v>1133</v>
      </c>
      <c r="K15" s="12">
        <v>1133</v>
      </c>
      <c r="L15" s="12">
        <v>1000</v>
      </c>
      <c r="M15" s="11">
        <v>295</v>
      </c>
      <c r="N15" s="19">
        <v>491</v>
      </c>
      <c r="O15" s="19"/>
      <c r="P15" s="19">
        <v>893</v>
      </c>
      <c r="Q15" s="19">
        <f>800*4</f>
        <v>3200</v>
      </c>
      <c r="R15" s="20">
        <v>690</v>
      </c>
      <c r="S15" s="14">
        <f t="shared" si="4"/>
        <v>22450.481170250001</v>
      </c>
      <c r="T15" s="19">
        <f t="shared" si="10"/>
        <v>124.82481170250001</v>
      </c>
      <c r="U15" s="19"/>
      <c r="V15" s="19">
        <f t="shared" si="9"/>
        <v>873.7736819175002</v>
      </c>
      <c r="W15" s="11">
        <f t="shared" si="5"/>
        <v>873.7736819175002</v>
      </c>
      <c r="X15" s="19">
        <v>2803.5231712428003</v>
      </c>
      <c r="Y15" s="21"/>
      <c r="Z15" s="21"/>
      <c r="AA15" s="21"/>
      <c r="AB15" s="16">
        <f t="shared" si="0"/>
        <v>4675.8953467803003</v>
      </c>
      <c r="AC15" s="17">
        <f t="shared" si="1"/>
        <v>17774.585823469701</v>
      </c>
    </row>
    <row r="16" spans="2:29" x14ac:dyDescent="0.25">
      <c r="B16" s="7" t="s">
        <v>60</v>
      </c>
      <c r="C16" s="8" t="s">
        <v>32</v>
      </c>
      <c r="D16" s="9">
        <v>5</v>
      </c>
      <c r="E16" s="10">
        <f>10472.385*1.025</f>
        <v>10734.194625</v>
      </c>
      <c r="F16" s="10">
        <f t="shared" si="2"/>
        <v>21468.38925</v>
      </c>
      <c r="G16" s="10">
        <f t="shared" si="7"/>
        <v>10948.878517500001</v>
      </c>
      <c r="H16" s="10">
        <f t="shared" si="8"/>
        <v>21897.757035000002</v>
      </c>
      <c r="I16" s="12">
        <v>1133</v>
      </c>
      <c r="J16" s="12">
        <v>1133</v>
      </c>
      <c r="K16" s="12">
        <v>1133</v>
      </c>
      <c r="L16" s="12">
        <v>1000</v>
      </c>
      <c r="M16" s="12">
        <v>260</v>
      </c>
      <c r="N16" s="19"/>
      <c r="O16" s="19">
        <f>525</f>
        <v>525</v>
      </c>
      <c r="P16" s="19">
        <v>838</v>
      </c>
      <c r="Q16" s="19"/>
      <c r="R16" s="20"/>
      <c r="S16" s="14">
        <f t="shared" si="4"/>
        <v>16970.878517500001</v>
      </c>
      <c r="T16" s="19">
        <f t="shared" si="10"/>
        <v>109.48878517500002</v>
      </c>
      <c r="U16" s="19"/>
      <c r="V16" s="19">
        <f t="shared" si="9"/>
        <v>766.42149622500017</v>
      </c>
      <c r="W16" s="11">
        <f t="shared" si="5"/>
        <v>766.42149622500017</v>
      </c>
      <c r="X16" s="19">
        <v>2138.9671553380003</v>
      </c>
      <c r="Y16" s="21">
        <f>2583</f>
        <v>2583</v>
      </c>
      <c r="Z16" s="22"/>
      <c r="AA16" s="22"/>
      <c r="AB16" s="16">
        <f t="shared" si="0"/>
        <v>6364.2989329630009</v>
      </c>
      <c r="AC16" s="17">
        <f t="shared" si="1"/>
        <v>10606.579584537001</v>
      </c>
    </row>
    <row r="17" spans="2:29" x14ac:dyDescent="0.25">
      <c r="B17" s="7" t="s">
        <v>60</v>
      </c>
      <c r="C17" s="8" t="s">
        <v>33</v>
      </c>
      <c r="D17" s="9">
        <v>5</v>
      </c>
      <c r="E17" s="10">
        <f>10472.385*1.025</f>
        <v>10734.194625</v>
      </c>
      <c r="F17" s="10">
        <f t="shared" si="2"/>
        <v>21468.38925</v>
      </c>
      <c r="G17" s="10">
        <f t="shared" si="7"/>
        <v>10948.878517500001</v>
      </c>
      <c r="H17" s="10">
        <f t="shared" si="8"/>
        <v>21897.757035000002</v>
      </c>
      <c r="I17" s="12">
        <v>1133</v>
      </c>
      <c r="J17" s="12">
        <v>1133</v>
      </c>
      <c r="K17" s="12">
        <v>1133</v>
      </c>
      <c r="L17" s="12">
        <v>1000</v>
      </c>
      <c r="M17" s="12">
        <v>260</v>
      </c>
      <c r="N17" s="19"/>
      <c r="O17" s="12"/>
      <c r="P17" s="19">
        <v>838</v>
      </c>
      <c r="Q17" s="19"/>
      <c r="R17" s="20"/>
      <c r="S17" s="14">
        <f t="shared" si="4"/>
        <v>16445.878517500001</v>
      </c>
      <c r="T17" s="19">
        <f t="shared" si="10"/>
        <v>109.48878517500002</v>
      </c>
      <c r="U17" s="19">
        <f>500</f>
        <v>500</v>
      </c>
      <c r="V17" s="19">
        <f t="shared" si="9"/>
        <v>766.42149622500017</v>
      </c>
      <c r="W17" s="11">
        <f t="shared" si="5"/>
        <v>766.42149622500017</v>
      </c>
      <c r="X17" s="19">
        <v>1970.7571553380003</v>
      </c>
      <c r="Y17" s="21"/>
      <c r="Z17" s="22"/>
      <c r="AA17" s="22"/>
      <c r="AB17" s="16">
        <f t="shared" si="0"/>
        <v>4113.0889329630008</v>
      </c>
      <c r="AC17" s="17">
        <f t="shared" si="1"/>
        <v>12332.789584537</v>
      </c>
    </row>
    <row r="18" spans="2:29" x14ac:dyDescent="0.25">
      <c r="B18" s="7" t="s">
        <v>60</v>
      </c>
      <c r="C18" s="8" t="s">
        <v>34</v>
      </c>
      <c r="D18" s="9">
        <v>4</v>
      </c>
      <c r="E18" s="10">
        <f>9192.729*1.025</f>
        <v>9422.5472249999984</v>
      </c>
      <c r="F18" s="10">
        <f t="shared" si="2"/>
        <v>18845.094449999997</v>
      </c>
      <c r="G18" s="10">
        <f t="shared" si="7"/>
        <v>9610.9981694999988</v>
      </c>
      <c r="H18" s="10">
        <f t="shared" si="8"/>
        <v>19221.996338999998</v>
      </c>
      <c r="I18" s="12">
        <v>1133</v>
      </c>
      <c r="J18" s="12">
        <v>1133</v>
      </c>
      <c r="K18" s="12">
        <v>1133</v>
      </c>
      <c r="L18" s="12">
        <v>1000</v>
      </c>
      <c r="M18" s="12">
        <v>230</v>
      </c>
      <c r="N18" s="19"/>
      <c r="O18" s="12">
        <v>150</v>
      </c>
      <c r="P18" s="19">
        <v>790</v>
      </c>
      <c r="Q18" s="19"/>
      <c r="R18" s="20"/>
      <c r="S18" s="14">
        <f t="shared" si="4"/>
        <v>15179.998169499999</v>
      </c>
      <c r="T18" s="19">
        <f t="shared" si="10"/>
        <v>96.109981694999988</v>
      </c>
      <c r="U18" s="19"/>
      <c r="V18" s="19">
        <f t="shared" si="9"/>
        <v>672.76987186500003</v>
      </c>
      <c r="W18" s="11">
        <f t="shared" si="5"/>
        <v>672.76987186500003</v>
      </c>
      <c r="X18" s="19">
        <v>1724.7155130051999</v>
      </c>
      <c r="Y18" s="21"/>
      <c r="Z18" s="22"/>
      <c r="AA18" s="22"/>
      <c r="AB18" s="16">
        <f t="shared" si="0"/>
        <v>3166.3652384302</v>
      </c>
      <c r="AC18" s="17">
        <f t="shared" si="1"/>
        <v>12013.632931069798</v>
      </c>
    </row>
    <row r="19" spans="2:29" x14ac:dyDescent="0.25">
      <c r="B19" s="7" t="s">
        <v>60</v>
      </c>
      <c r="C19" s="8" t="s">
        <v>35</v>
      </c>
      <c r="D19" s="9">
        <v>4</v>
      </c>
      <c r="E19" s="10">
        <f>9192.729*1.025</f>
        <v>9422.5472249999984</v>
      </c>
      <c r="F19" s="10">
        <f t="shared" si="2"/>
        <v>18845.094449999997</v>
      </c>
      <c r="G19" s="10">
        <f t="shared" si="7"/>
        <v>9610.9981694999988</v>
      </c>
      <c r="H19" s="10">
        <f t="shared" si="8"/>
        <v>19221.996338999998</v>
      </c>
      <c r="I19" s="12">
        <v>1133</v>
      </c>
      <c r="J19" s="12">
        <v>1133</v>
      </c>
      <c r="K19" s="12">
        <v>1133</v>
      </c>
      <c r="L19" s="12">
        <v>1000</v>
      </c>
      <c r="M19" s="12">
        <v>230</v>
      </c>
      <c r="N19" s="19"/>
      <c r="O19" s="12">
        <v>150</v>
      </c>
      <c r="P19" s="19">
        <v>790</v>
      </c>
      <c r="Q19" s="19"/>
      <c r="R19" s="20"/>
      <c r="S19" s="14">
        <f t="shared" si="4"/>
        <v>15179.998169499999</v>
      </c>
      <c r="T19" s="19">
        <f t="shared" si="10"/>
        <v>96.109981694999988</v>
      </c>
      <c r="U19" s="19">
        <f>500</f>
        <v>500</v>
      </c>
      <c r="V19" s="19">
        <f t="shared" si="9"/>
        <v>672.76987186500003</v>
      </c>
      <c r="W19" s="11">
        <f t="shared" si="5"/>
        <v>672.76987186500003</v>
      </c>
      <c r="X19" s="19">
        <v>1724.7155130051999</v>
      </c>
      <c r="Y19" s="21"/>
      <c r="Z19" s="22"/>
      <c r="AA19" s="22"/>
      <c r="AB19" s="16">
        <f t="shared" si="0"/>
        <v>3666.3652384301995</v>
      </c>
      <c r="AC19" s="17">
        <f t="shared" si="1"/>
        <v>11513.632931069798</v>
      </c>
    </row>
    <row r="20" spans="2:29" x14ac:dyDescent="0.25">
      <c r="B20" s="7" t="s">
        <v>60</v>
      </c>
      <c r="C20" s="8" t="s">
        <v>36</v>
      </c>
      <c r="D20" s="9">
        <v>2</v>
      </c>
      <c r="E20" s="10">
        <f>7675.6365*1.025</f>
        <v>7867.5274124999987</v>
      </c>
      <c r="F20" s="10">
        <f t="shared" si="2"/>
        <v>15735.054824999997</v>
      </c>
      <c r="G20" s="10">
        <f t="shared" si="7"/>
        <v>8024.8779607499991</v>
      </c>
      <c r="H20" s="10">
        <f t="shared" si="8"/>
        <v>16049.755921499998</v>
      </c>
      <c r="I20" s="12">
        <v>1133</v>
      </c>
      <c r="J20" s="12">
        <v>1133</v>
      </c>
      <c r="K20" s="12">
        <v>1133</v>
      </c>
      <c r="L20" s="12">
        <v>1000</v>
      </c>
      <c r="M20" s="12">
        <v>190</v>
      </c>
      <c r="N20" s="19"/>
      <c r="O20" s="12">
        <v>150</v>
      </c>
      <c r="P20" s="19">
        <v>733</v>
      </c>
      <c r="Q20" s="19">
        <f>800*4</f>
        <v>3200</v>
      </c>
      <c r="R20" s="20">
        <v>555</v>
      </c>
      <c r="S20" s="14">
        <f t="shared" si="4"/>
        <v>17251.87796075</v>
      </c>
      <c r="T20" s="19">
        <f t="shared" si="10"/>
        <v>80.248779607499998</v>
      </c>
      <c r="U20" s="19">
        <f>1000</f>
        <v>1000</v>
      </c>
      <c r="V20" s="19">
        <f t="shared" si="9"/>
        <v>561.74145725250003</v>
      </c>
      <c r="W20" s="11">
        <f t="shared" si="5"/>
        <v>561.74145725250003</v>
      </c>
      <c r="X20" s="19">
        <v>1776.5946364162</v>
      </c>
      <c r="Y20" s="21"/>
      <c r="Z20" s="22"/>
      <c r="AA20" s="22"/>
      <c r="AB20" s="16">
        <f t="shared" si="0"/>
        <v>3980.3263305287001</v>
      </c>
      <c r="AC20" s="17">
        <f t="shared" si="1"/>
        <v>13271.5516302213</v>
      </c>
    </row>
    <row r="21" spans="2:29" x14ac:dyDescent="0.25">
      <c r="B21" s="7" t="s">
        <v>60</v>
      </c>
      <c r="C21" s="8" t="s">
        <v>37</v>
      </c>
      <c r="D21" s="9">
        <v>2</v>
      </c>
      <c r="E21" s="10">
        <f>7675.6365*1.025</f>
        <v>7867.5274124999987</v>
      </c>
      <c r="F21" s="10">
        <f t="shared" si="2"/>
        <v>15735.054824999997</v>
      </c>
      <c r="G21" s="10">
        <f t="shared" si="7"/>
        <v>8024.8779607499991</v>
      </c>
      <c r="H21" s="10">
        <f t="shared" si="8"/>
        <v>16049.755921499998</v>
      </c>
      <c r="I21" s="12">
        <v>1133</v>
      </c>
      <c r="J21" s="12">
        <v>1133</v>
      </c>
      <c r="K21" s="12">
        <v>1133</v>
      </c>
      <c r="L21" s="12">
        <v>1000</v>
      </c>
      <c r="M21" s="12">
        <v>190</v>
      </c>
      <c r="N21" s="19"/>
      <c r="O21" s="12">
        <v>150</v>
      </c>
      <c r="P21" s="19">
        <v>733</v>
      </c>
      <c r="Q21" s="19"/>
      <c r="R21" s="20"/>
      <c r="S21" s="14">
        <f t="shared" si="4"/>
        <v>13496.87796075</v>
      </c>
      <c r="T21" s="19">
        <f t="shared" si="10"/>
        <v>80.248779607499998</v>
      </c>
      <c r="U21" s="19">
        <f>500</f>
        <v>500</v>
      </c>
      <c r="V21" s="19">
        <f t="shared" si="9"/>
        <v>561.74145725250003</v>
      </c>
      <c r="W21" s="11">
        <f t="shared" si="5"/>
        <v>561.74145725250003</v>
      </c>
      <c r="X21" s="19">
        <v>1375.5606364162002</v>
      </c>
      <c r="Y21" s="21"/>
      <c r="Z21" s="22">
        <f>966.64</f>
        <v>966.64</v>
      </c>
      <c r="AA21" s="22">
        <f>1933.28</f>
        <v>1933.28</v>
      </c>
      <c r="AB21" s="16">
        <f t="shared" si="0"/>
        <v>5979.2123305287005</v>
      </c>
      <c r="AC21" s="17">
        <f t="shared" si="1"/>
        <v>7517.6656302212996</v>
      </c>
    </row>
    <row r="22" spans="2:29" ht="22.5" x14ac:dyDescent="0.25">
      <c r="B22" s="7" t="s">
        <v>60</v>
      </c>
      <c r="C22" s="8" t="s">
        <v>38</v>
      </c>
      <c r="D22" s="9"/>
      <c r="E22" s="10">
        <f>7204.1865*1.025</f>
        <v>7384.2911624999988</v>
      </c>
      <c r="F22" s="10">
        <f t="shared" si="2"/>
        <v>14768.582324999998</v>
      </c>
      <c r="G22" s="10">
        <f t="shared" si="7"/>
        <v>7531.9769857499987</v>
      </c>
      <c r="H22" s="10">
        <f t="shared" si="8"/>
        <v>15063.953971499997</v>
      </c>
      <c r="I22" s="12">
        <v>1133</v>
      </c>
      <c r="J22" s="12">
        <v>1133</v>
      </c>
      <c r="K22" s="12">
        <v>1133</v>
      </c>
      <c r="L22" s="12">
        <v>1000</v>
      </c>
      <c r="M22" s="12">
        <v>180</v>
      </c>
      <c r="N22" s="19"/>
      <c r="O22" s="12">
        <v>150</v>
      </c>
      <c r="P22" s="19">
        <v>715</v>
      </c>
      <c r="Q22" s="19">
        <f>800*4</f>
        <v>3200</v>
      </c>
      <c r="R22" s="20">
        <v>600</v>
      </c>
      <c r="S22" s="14">
        <f t="shared" si="4"/>
        <v>16775.97698575</v>
      </c>
      <c r="T22" s="19">
        <f t="shared" si="10"/>
        <v>75.319769857499992</v>
      </c>
      <c r="U22" s="19">
        <f>500</f>
        <v>500</v>
      </c>
      <c r="V22" s="19">
        <f t="shared" si="9"/>
        <v>527.23838900249996</v>
      </c>
      <c r="W22" s="11">
        <f t="shared" si="5"/>
        <v>527.23838900249996</v>
      </c>
      <c r="X22" s="19">
        <v>1673.1265881562001</v>
      </c>
      <c r="Y22" s="21"/>
      <c r="Z22" s="22"/>
      <c r="AA22" s="22"/>
      <c r="AB22" s="16">
        <f t="shared" si="0"/>
        <v>3302.9231360186996</v>
      </c>
      <c r="AC22" s="17">
        <f t="shared" si="1"/>
        <v>13473.053849731299</v>
      </c>
    </row>
    <row r="23" spans="2:29" ht="22.5" x14ac:dyDescent="0.25">
      <c r="B23" s="7" t="s">
        <v>60</v>
      </c>
      <c r="C23" s="8" t="s">
        <v>39</v>
      </c>
      <c r="D23" s="9">
        <v>1</v>
      </c>
      <c r="E23" s="10">
        <f>7204.1865*1.025</f>
        <v>7384.2911624999988</v>
      </c>
      <c r="F23" s="10">
        <f t="shared" si="2"/>
        <v>14768.582324999998</v>
      </c>
      <c r="G23" s="10">
        <f t="shared" si="7"/>
        <v>7531.9769857499987</v>
      </c>
      <c r="H23" s="10">
        <f t="shared" si="8"/>
        <v>15063.953971499997</v>
      </c>
      <c r="I23" s="12">
        <v>1133</v>
      </c>
      <c r="J23" s="12">
        <v>1133</v>
      </c>
      <c r="K23" s="12">
        <v>1133</v>
      </c>
      <c r="L23" s="12">
        <v>1000</v>
      </c>
      <c r="M23" s="12">
        <v>180</v>
      </c>
      <c r="N23" s="19"/>
      <c r="O23" s="12"/>
      <c r="P23" s="19">
        <v>715</v>
      </c>
      <c r="Q23" s="19"/>
      <c r="R23" s="20"/>
      <c r="S23" s="14">
        <f t="shared" si="4"/>
        <v>12825.97698575</v>
      </c>
      <c r="T23" s="19"/>
      <c r="U23" s="19"/>
      <c r="V23" s="19">
        <f t="shared" si="9"/>
        <v>527.23838900249996</v>
      </c>
      <c r="W23" s="11">
        <f t="shared" si="5"/>
        <v>527.23838900249996</v>
      </c>
      <c r="X23" s="19">
        <v>1219.2265881562</v>
      </c>
      <c r="Y23" s="21"/>
      <c r="Z23" s="22"/>
      <c r="AA23" s="22"/>
      <c r="AB23" s="16">
        <f t="shared" si="0"/>
        <v>2273.7033661611999</v>
      </c>
      <c r="AC23" s="17">
        <f t="shared" si="1"/>
        <v>10552.273619588799</v>
      </c>
    </row>
    <row r="24" spans="2:29" ht="22.5" x14ac:dyDescent="0.25">
      <c r="B24" s="7" t="s">
        <v>61</v>
      </c>
      <c r="C24" s="8" t="s">
        <v>40</v>
      </c>
      <c r="D24" s="9"/>
      <c r="E24" s="10">
        <f>6069.96</f>
        <v>6069.96</v>
      </c>
      <c r="F24" s="10">
        <f t="shared" si="2"/>
        <v>12139.92</v>
      </c>
      <c r="G24" s="10">
        <f>+E24</f>
        <v>6069.96</v>
      </c>
      <c r="H24" s="30">
        <f>+F24</f>
        <v>12139.92</v>
      </c>
      <c r="I24" s="28"/>
      <c r="J24" s="28"/>
      <c r="K24" s="28"/>
      <c r="L24" s="25"/>
      <c r="M24" s="26"/>
      <c r="N24" s="26"/>
      <c r="O24" s="26"/>
      <c r="P24" s="19"/>
      <c r="Q24" s="19"/>
      <c r="R24" s="27"/>
      <c r="S24" s="14">
        <f t="shared" si="4"/>
        <v>6069.96</v>
      </c>
      <c r="T24" s="19"/>
      <c r="U24" s="26"/>
      <c r="V24" s="26"/>
      <c r="W24" s="11"/>
      <c r="X24" s="19">
        <v>527.76699999999994</v>
      </c>
      <c r="Y24" s="21"/>
      <c r="Z24" s="22"/>
      <c r="AA24" s="22"/>
      <c r="AB24" s="16">
        <f t="shared" si="0"/>
        <v>527.76699999999994</v>
      </c>
      <c r="AC24" s="17">
        <f t="shared" si="1"/>
        <v>5542.1930000000002</v>
      </c>
    </row>
    <row r="25" spans="2:29" x14ac:dyDescent="0.25">
      <c r="B25" s="7" t="s">
        <v>61</v>
      </c>
      <c r="C25" s="23" t="s">
        <v>41</v>
      </c>
      <c r="D25" s="29"/>
      <c r="E25" s="30">
        <f>3018.5</f>
        <v>3018.5</v>
      </c>
      <c r="F25" s="10">
        <f t="shared" si="2"/>
        <v>6037</v>
      </c>
      <c r="G25" s="10">
        <f>+E25</f>
        <v>3018.5</v>
      </c>
      <c r="H25" s="30">
        <f>+F25</f>
        <v>6037</v>
      </c>
      <c r="I25" s="28"/>
      <c r="J25" s="28"/>
      <c r="K25" s="28"/>
      <c r="L25" s="25"/>
      <c r="M25" s="26"/>
      <c r="N25" s="26"/>
      <c r="O25" s="26"/>
      <c r="P25" s="19"/>
      <c r="Q25" s="19"/>
      <c r="R25" s="27"/>
      <c r="S25" s="14">
        <f t="shared" si="4"/>
        <v>3018.5</v>
      </c>
      <c r="T25" s="19"/>
      <c r="U25" s="26"/>
      <c r="V25" s="26"/>
      <c r="W25" s="11"/>
      <c r="X25" s="19">
        <v>176.47039999999998</v>
      </c>
      <c r="Y25" s="21"/>
      <c r="Z25" s="22"/>
      <c r="AA25" s="22"/>
      <c r="AB25" s="16">
        <f t="shared" si="0"/>
        <v>176.47039999999998</v>
      </c>
      <c r="AC25" s="17">
        <f t="shared" si="1"/>
        <v>2842.0295999999998</v>
      </c>
    </row>
    <row r="26" spans="2:29" ht="15.75" thickBot="1" x14ac:dyDescent="0.3">
      <c r="B26" s="31" t="s">
        <v>42</v>
      </c>
      <c r="C26" s="32"/>
      <c r="D26" s="33"/>
      <c r="E26" s="34">
        <f t="shared" ref="E26:AC26" si="11">SUM(E5:E25)</f>
        <v>238122.87256449627</v>
      </c>
      <c r="F26" s="34">
        <f t="shared" si="11"/>
        <v>476245.74512899254</v>
      </c>
      <c r="G26" s="34">
        <f t="shared" si="11"/>
        <v>240593.14001578619</v>
      </c>
      <c r="H26" s="34">
        <f t="shared" si="11"/>
        <v>481186.28003157239</v>
      </c>
      <c r="I26" s="34">
        <f t="shared" si="11"/>
        <v>17196</v>
      </c>
      <c r="J26" s="34">
        <f t="shared" si="11"/>
        <v>18096</v>
      </c>
      <c r="K26" s="34">
        <f t="shared" si="11"/>
        <v>17196</v>
      </c>
      <c r="L26" s="34">
        <f t="shared" si="11"/>
        <v>16000</v>
      </c>
      <c r="M26" s="34">
        <f t="shared" si="11"/>
        <v>2310</v>
      </c>
      <c r="N26" s="34">
        <f t="shared" si="11"/>
        <v>4929</v>
      </c>
      <c r="O26" s="34">
        <f t="shared" si="11"/>
        <v>1825</v>
      </c>
      <c r="P26" s="34">
        <f t="shared" si="11"/>
        <v>9862</v>
      </c>
      <c r="Q26" s="34">
        <f t="shared" si="11"/>
        <v>9600</v>
      </c>
      <c r="R26" s="34">
        <f t="shared" si="11"/>
        <v>1845</v>
      </c>
      <c r="S26" s="34">
        <f t="shared" si="11"/>
        <v>339452.14001578634</v>
      </c>
      <c r="T26" s="34">
        <f t="shared" si="11"/>
        <v>1030.273034805</v>
      </c>
      <c r="U26" s="34">
        <f t="shared" si="11"/>
        <v>4000</v>
      </c>
      <c r="V26" s="34">
        <f t="shared" si="11"/>
        <v>8818.8548011050352</v>
      </c>
      <c r="W26" s="34">
        <f t="shared" si="11"/>
        <v>16205.327601105038</v>
      </c>
      <c r="X26" s="34">
        <f t="shared" si="11"/>
        <v>43663.531107868308</v>
      </c>
      <c r="Y26" s="34">
        <f t="shared" si="11"/>
        <v>2583</v>
      </c>
      <c r="Z26" s="34">
        <f t="shared" si="11"/>
        <v>1933.28</v>
      </c>
      <c r="AA26" s="34">
        <f t="shared" si="11"/>
        <v>1933.28</v>
      </c>
      <c r="AB26" s="34">
        <f t="shared" si="11"/>
        <v>80167.546544883386</v>
      </c>
      <c r="AC26" s="34">
        <f t="shared" si="11"/>
        <v>259284.59347090285</v>
      </c>
    </row>
    <row r="27" spans="2:29" x14ac:dyDescent="0.25"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9" spans="2:29" x14ac:dyDescent="0.25">
      <c r="B29" t="s">
        <v>58</v>
      </c>
      <c r="C29" t="s">
        <v>54</v>
      </c>
    </row>
    <row r="30" spans="2:29" x14ac:dyDescent="0.25">
      <c r="B30" t="s">
        <v>59</v>
      </c>
      <c r="C30" t="s">
        <v>55</v>
      </c>
    </row>
    <row r="31" spans="2:29" x14ac:dyDescent="0.25">
      <c r="B31" t="s">
        <v>60</v>
      </c>
      <c r="C31" t="s">
        <v>62</v>
      </c>
    </row>
    <row r="32" spans="2:29" x14ac:dyDescent="0.25">
      <c r="B32" t="s">
        <v>61</v>
      </c>
      <c r="C32" t="s">
        <v>63</v>
      </c>
    </row>
  </sheetData>
  <mergeCells count="2">
    <mergeCell ref="I1:S1"/>
    <mergeCell ref="Z1:A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workbookViewId="0">
      <selection activeCell="B4" sqref="B4:B24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4" width="8.7109375" customWidth="1"/>
    <col min="15" max="15" width="12.5703125" bestFit="1" customWidth="1"/>
    <col min="16" max="16" width="7.42578125" customWidth="1"/>
    <col min="17" max="18" width="8.7109375" bestFit="1" customWidth="1"/>
    <col min="19" max="19" width="9" customWidth="1"/>
    <col min="20" max="20" width="9.5703125" customWidth="1"/>
    <col min="21" max="21" width="7.85546875" customWidth="1"/>
    <col min="22" max="23" width="8.5703125" customWidth="1"/>
    <col min="24" max="25" width="10.140625" customWidth="1"/>
    <col min="26" max="26" width="9.5703125" customWidth="1"/>
    <col min="27" max="27" width="12.5703125" bestFit="1" customWidth="1"/>
    <col min="28" max="28" width="14.140625" bestFit="1" customWidth="1"/>
  </cols>
  <sheetData>
    <row r="1" spans="2:27" ht="18.75" x14ac:dyDescent="0.25">
      <c r="E1" s="2" t="s">
        <v>96</v>
      </c>
      <c r="F1" s="2"/>
      <c r="G1" s="2"/>
      <c r="H1" s="2"/>
      <c r="I1" s="2"/>
      <c r="J1" s="2"/>
      <c r="K1" s="2"/>
      <c r="L1" s="2"/>
      <c r="M1" s="2"/>
      <c r="N1" s="2"/>
    </row>
    <row r="2" spans="2:27" s="54" customFormat="1" ht="21" customHeight="1" thickBot="1" x14ac:dyDescent="0.3">
      <c r="B2" s="52"/>
      <c r="C2" s="52"/>
      <c r="D2" s="52"/>
      <c r="E2" s="47"/>
      <c r="F2" s="47"/>
      <c r="G2" s="47"/>
      <c r="H2" s="47"/>
      <c r="I2" s="47"/>
      <c r="J2" s="47"/>
      <c r="K2" s="47"/>
      <c r="L2" s="47"/>
      <c r="M2" s="47"/>
      <c r="N2" s="47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2:27" ht="48.75" customHeight="1" x14ac:dyDescent="0.25">
      <c r="B3" s="51"/>
      <c r="C3" s="51"/>
      <c r="D3" s="3" t="s">
        <v>1</v>
      </c>
      <c r="E3" s="44" t="s">
        <v>2</v>
      </c>
      <c r="F3" s="45" t="s">
        <v>43</v>
      </c>
      <c r="G3" s="45" t="s">
        <v>44</v>
      </c>
      <c r="H3" s="45" t="s">
        <v>45</v>
      </c>
      <c r="I3" s="45" t="s">
        <v>46</v>
      </c>
      <c r="J3" s="45" t="s">
        <v>47</v>
      </c>
      <c r="K3" s="45" t="s">
        <v>48</v>
      </c>
      <c r="L3" s="45" t="s">
        <v>9</v>
      </c>
      <c r="M3" s="45" t="s">
        <v>49</v>
      </c>
      <c r="N3" s="45" t="s">
        <v>50</v>
      </c>
      <c r="O3" s="41"/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5" t="s">
        <v>18</v>
      </c>
      <c r="V3" s="5" t="s">
        <v>19</v>
      </c>
      <c r="W3" s="6" t="s">
        <v>20</v>
      </c>
      <c r="X3" s="42" t="s">
        <v>0</v>
      </c>
      <c r="Y3" s="42" t="s">
        <v>52</v>
      </c>
      <c r="Z3" s="42"/>
      <c r="AA3" s="43"/>
    </row>
    <row r="4" spans="2:27" x14ac:dyDescent="0.25">
      <c r="B4" s="7" t="s">
        <v>58</v>
      </c>
      <c r="C4" s="8" t="s">
        <v>21</v>
      </c>
      <c r="D4" s="9">
        <v>17</v>
      </c>
      <c r="E4" s="10">
        <f>38573.38/2</f>
        <v>19286.689999999999</v>
      </c>
      <c r="F4" s="12"/>
      <c r="G4" s="11">
        <v>300</v>
      </c>
      <c r="H4" s="12"/>
      <c r="I4" s="11"/>
      <c r="J4" s="11"/>
      <c r="K4" s="11"/>
      <c r="L4" s="11"/>
      <c r="M4" s="11"/>
      <c r="N4" s="11"/>
      <c r="O4" s="14">
        <f>SUM(E4:N4)</f>
        <v>19586.689999999999</v>
      </c>
      <c r="P4" s="11"/>
      <c r="Q4" s="11"/>
      <c r="R4" s="11"/>
      <c r="S4" s="11">
        <f>(E4*0.07)</f>
        <v>1350.0683000000001</v>
      </c>
      <c r="T4" s="11">
        <v>3400.1570879999995</v>
      </c>
      <c r="U4" s="15"/>
      <c r="V4" s="16"/>
      <c r="W4" s="16"/>
      <c r="X4" s="16"/>
      <c r="Y4" s="16"/>
      <c r="Z4" s="16">
        <f>SUM(P4:Y4)</f>
        <v>4750.2253879999998</v>
      </c>
      <c r="AA4" s="17">
        <f>+O4-Z4</f>
        <v>14836.464612</v>
      </c>
    </row>
    <row r="5" spans="2:27" x14ac:dyDescent="0.25">
      <c r="B5" s="7" t="s">
        <v>58</v>
      </c>
      <c r="C5" s="8" t="s">
        <v>22</v>
      </c>
      <c r="D5" s="9">
        <v>14</v>
      </c>
      <c r="E5" s="10">
        <f>14917.51</f>
        <v>14917.51</v>
      </c>
      <c r="F5" s="12"/>
      <c r="G5" s="19">
        <v>300</v>
      </c>
      <c r="H5" s="12"/>
      <c r="I5" s="19"/>
      <c r="J5" s="19"/>
      <c r="K5" s="19"/>
      <c r="L5" s="19"/>
      <c r="M5" s="19"/>
      <c r="N5" s="19"/>
      <c r="O5" s="14">
        <f t="shared" ref="O5:O24" si="0">SUM(E5:N5)</f>
        <v>15217.51</v>
      </c>
      <c r="P5" s="19"/>
      <c r="Q5" s="19"/>
      <c r="R5" s="19"/>
      <c r="S5" s="11">
        <f>(E5*0.07)</f>
        <v>1044.2257000000002</v>
      </c>
      <c r="T5" s="19">
        <v>2384.42164</v>
      </c>
      <c r="U5" s="21"/>
      <c r="V5" s="22"/>
      <c r="W5" s="22"/>
      <c r="X5" s="22"/>
      <c r="Y5" s="22"/>
      <c r="Z5" s="16">
        <f t="shared" ref="Z5:Z24" si="1">SUM(P5:Y5)</f>
        <v>3428.6473400000004</v>
      </c>
      <c r="AA5" s="17">
        <f t="shared" ref="AA5:AA24" si="2">+O5-Z5</f>
        <v>11788.862659999999</v>
      </c>
    </row>
    <row r="6" spans="2:27" x14ac:dyDescent="0.25">
      <c r="B6" s="7" t="s">
        <v>58</v>
      </c>
      <c r="C6" s="8" t="s">
        <v>23</v>
      </c>
      <c r="D6" s="9">
        <v>14</v>
      </c>
      <c r="E6" s="10">
        <f>14917.51</f>
        <v>14917.51</v>
      </c>
      <c r="F6" s="12"/>
      <c r="G6" s="19">
        <v>300</v>
      </c>
      <c r="H6" s="12"/>
      <c r="I6" s="19"/>
      <c r="J6" s="19"/>
      <c r="K6" s="19"/>
      <c r="L6" s="19"/>
      <c r="M6" s="19"/>
      <c r="N6" s="19"/>
      <c r="O6" s="14">
        <f t="shared" si="0"/>
        <v>15217.51</v>
      </c>
      <c r="P6" s="19"/>
      <c r="Q6" s="19"/>
      <c r="R6" s="19"/>
      <c r="S6" s="11">
        <f>(E6*0.07)</f>
        <v>1044.2257000000002</v>
      </c>
      <c r="T6" s="19">
        <v>2384.42164</v>
      </c>
      <c r="U6" s="21"/>
      <c r="V6" s="22"/>
      <c r="W6" s="22"/>
      <c r="X6" s="22"/>
      <c r="Y6" s="22"/>
      <c r="Z6" s="16">
        <f t="shared" si="1"/>
        <v>3428.6473400000004</v>
      </c>
      <c r="AA6" s="17">
        <f t="shared" si="2"/>
        <v>11788.862659999999</v>
      </c>
    </row>
    <row r="7" spans="2:27" x14ac:dyDescent="0.25">
      <c r="B7" s="7" t="s">
        <v>59</v>
      </c>
      <c r="C7" s="8" t="s">
        <v>24</v>
      </c>
      <c r="D7" s="9">
        <v>13</v>
      </c>
      <c r="E7" s="10">
        <f>15022.1</f>
        <v>15022.1</v>
      </c>
      <c r="F7" s="37">
        <v>900</v>
      </c>
      <c r="G7" s="37">
        <v>900</v>
      </c>
      <c r="H7" s="37">
        <v>900</v>
      </c>
      <c r="I7" s="12">
        <v>1000</v>
      </c>
      <c r="J7" s="19"/>
      <c r="K7" s="19">
        <v>750</v>
      </c>
      <c r="L7" s="12"/>
      <c r="M7" s="19"/>
      <c r="N7" s="19"/>
      <c r="O7" s="14">
        <f t="shared" si="0"/>
        <v>19472.099999999999</v>
      </c>
      <c r="P7" s="19"/>
      <c r="Q7" s="19"/>
      <c r="R7" s="19"/>
      <c r="S7" s="11">
        <f t="shared" ref="S7:S22" si="3">(E7*0.07)</f>
        <v>1051.547</v>
      </c>
      <c r="T7" s="19">
        <v>2779.3255199999994</v>
      </c>
      <c r="U7" s="21"/>
      <c r="V7" s="22"/>
      <c r="W7" s="22"/>
      <c r="X7" s="22"/>
      <c r="Y7" s="22"/>
      <c r="Z7" s="16">
        <f t="shared" si="1"/>
        <v>3830.8725199999994</v>
      </c>
      <c r="AA7" s="17">
        <f t="shared" si="2"/>
        <v>15641.22748</v>
      </c>
    </row>
    <row r="8" spans="2:27" ht="15" customHeight="1" x14ac:dyDescent="0.25">
      <c r="B8" s="7" t="s">
        <v>59</v>
      </c>
      <c r="C8" s="8" t="s">
        <v>25</v>
      </c>
      <c r="D8" s="9">
        <v>13</v>
      </c>
      <c r="E8" s="10">
        <f>15022.1</f>
        <v>15022.1</v>
      </c>
      <c r="F8" s="37">
        <v>900</v>
      </c>
      <c r="G8" s="37">
        <v>900</v>
      </c>
      <c r="H8" s="37">
        <v>900</v>
      </c>
      <c r="I8" s="12">
        <v>1000</v>
      </c>
      <c r="J8" s="19"/>
      <c r="K8" s="19">
        <v>750</v>
      </c>
      <c r="L8" s="12"/>
      <c r="M8" s="19"/>
      <c r="N8" s="19"/>
      <c r="O8" s="14">
        <f t="shared" si="0"/>
        <v>19472.099999999999</v>
      </c>
      <c r="P8" s="19"/>
      <c r="Q8" s="19"/>
      <c r="R8" s="19"/>
      <c r="S8" s="11">
        <f t="shared" si="3"/>
        <v>1051.547</v>
      </c>
      <c r="T8" s="19">
        <v>2779.3255199999994</v>
      </c>
      <c r="U8" s="21"/>
      <c r="V8" s="22"/>
      <c r="W8" s="22"/>
      <c r="X8" s="22"/>
      <c r="Y8" s="22"/>
      <c r="Z8" s="16">
        <f t="shared" si="1"/>
        <v>3830.8725199999994</v>
      </c>
      <c r="AA8" s="17">
        <f t="shared" si="2"/>
        <v>15641.22748</v>
      </c>
    </row>
    <row r="9" spans="2:27" ht="15" customHeight="1" x14ac:dyDescent="0.25">
      <c r="B9" s="7" t="s">
        <v>59</v>
      </c>
      <c r="C9" s="8" t="s">
        <v>26</v>
      </c>
      <c r="D9" s="9">
        <v>13</v>
      </c>
      <c r="E9" s="10">
        <f>15022.1</f>
        <v>15022.1</v>
      </c>
      <c r="F9" s="37">
        <v>900</v>
      </c>
      <c r="G9" s="37">
        <v>900</v>
      </c>
      <c r="H9" s="37">
        <v>900</v>
      </c>
      <c r="I9" s="12">
        <v>1000</v>
      </c>
      <c r="J9" s="19"/>
      <c r="K9" s="19">
        <v>750</v>
      </c>
      <c r="L9" s="12"/>
      <c r="M9" s="19"/>
      <c r="N9" s="19"/>
      <c r="O9" s="14">
        <f t="shared" si="0"/>
        <v>19472.099999999999</v>
      </c>
      <c r="P9" s="19"/>
      <c r="Q9" s="19"/>
      <c r="R9" s="19"/>
      <c r="S9" s="11">
        <f t="shared" si="3"/>
        <v>1051.547</v>
      </c>
      <c r="T9" s="19">
        <v>2779.3255199999994</v>
      </c>
      <c r="U9" s="21"/>
      <c r="V9" s="22"/>
      <c r="W9" s="22"/>
      <c r="X9" s="22"/>
      <c r="Y9" s="22"/>
      <c r="Z9" s="16">
        <f t="shared" si="1"/>
        <v>3830.8725199999994</v>
      </c>
      <c r="AA9" s="17">
        <f t="shared" si="2"/>
        <v>15641.22748</v>
      </c>
    </row>
    <row r="10" spans="2:27" ht="15" customHeight="1" x14ac:dyDescent="0.25">
      <c r="B10" s="7" t="s">
        <v>59</v>
      </c>
      <c r="C10" s="8" t="s">
        <v>27</v>
      </c>
      <c r="D10" s="9">
        <v>9</v>
      </c>
      <c r="E10" s="10">
        <f>11333.03</f>
        <v>11333.03</v>
      </c>
      <c r="F10" s="37">
        <v>900</v>
      </c>
      <c r="G10" s="37">
        <v>900</v>
      </c>
      <c r="H10" s="37">
        <v>900</v>
      </c>
      <c r="I10" s="12">
        <v>1000</v>
      </c>
      <c r="J10" s="19"/>
      <c r="K10" s="19">
        <v>566</v>
      </c>
      <c r="L10" s="12"/>
      <c r="M10" s="19"/>
      <c r="N10" s="19"/>
      <c r="O10" s="14">
        <f t="shared" si="0"/>
        <v>15599.03</v>
      </c>
      <c r="P10" s="19"/>
      <c r="Q10" s="19"/>
      <c r="R10" s="19"/>
      <c r="S10" s="11">
        <f t="shared" si="3"/>
        <v>793.3121000000001</v>
      </c>
      <c r="T10" s="19">
        <v>1946.2255120000004</v>
      </c>
      <c r="U10" s="21"/>
      <c r="V10" s="22"/>
      <c r="W10" s="22"/>
      <c r="X10" s="22"/>
      <c r="Y10" s="22"/>
      <c r="Z10" s="16">
        <f t="shared" si="1"/>
        <v>2739.5376120000005</v>
      </c>
      <c r="AA10" s="17">
        <f t="shared" si="2"/>
        <v>12859.492388000001</v>
      </c>
    </row>
    <row r="11" spans="2:27" ht="15" customHeight="1" x14ac:dyDescent="0.25">
      <c r="B11" s="7" t="s">
        <v>60</v>
      </c>
      <c r="C11" s="8" t="s">
        <v>28</v>
      </c>
      <c r="D11" s="9">
        <v>10</v>
      </c>
      <c r="E11" s="10">
        <f>14753.0937824354*1.025</f>
        <v>15121.921126996283</v>
      </c>
      <c r="F11" s="12">
        <v>1133</v>
      </c>
      <c r="G11" s="12">
        <v>1133</v>
      </c>
      <c r="H11" s="12">
        <v>1133</v>
      </c>
      <c r="I11" s="12">
        <v>1000</v>
      </c>
      <c r="J11" s="19"/>
      <c r="K11" s="19">
        <v>606</v>
      </c>
      <c r="L11" s="12"/>
      <c r="M11" s="19">
        <v>999</v>
      </c>
      <c r="N11" s="19"/>
      <c r="O11" s="14">
        <f t="shared" si="0"/>
        <v>21125.921126996283</v>
      </c>
      <c r="P11" s="19"/>
      <c r="Q11" s="19"/>
      <c r="R11" s="19">
        <f t="shared" ref="R11:R22" si="4">(E11*0.07)</f>
        <v>1058.5344788897398</v>
      </c>
      <c r="S11" s="11">
        <f t="shared" si="3"/>
        <v>1058.5344788897398</v>
      </c>
      <c r="T11" s="19">
        <v>2958.1530490695259</v>
      </c>
      <c r="U11" s="21"/>
      <c r="V11" s="22"/>
      <c r="W11" s="22"/>
      <c r="X11" s="22"/>
      <c r="Y11" s="22"/>
      <c r="Z11" s="16">
        <f t="shared" si="1"/>
        <v>5075.222006849006</v>
      </c>
      <c r="AA11" s="17">
        <f t="shared" si="2"/>
        <v>16050.699120147277</v>
      </c>
    </row>
    <row r="12" spans="2:27" ht="15" customHeight="1" x14ac:dyDescent="0.25">
      <c r="B12" s="7" t="s">
        <v>60</v>
      </c>
      <c r="C12" s="8" t="s">
        <v>29</v>
      </c>
      <c r="D12" s="9">
        <v>8</v>
      </c>
      <c r="E12" s="10">
        <f>12779.3925*1.025</f>
        <v>13098.877312499999</v>
      </c>
      <c r="F12" s="12">
        <v>1133</v>
      </c>
      <c r="G12" s="12">
        <v>1133</v>
      </c>
      <c r="H12" s="12">
        <v>1133</v>
      </c>
      <c r="I12" s="12">
        <v>1000</v>
      </c>
      <c r="J12" s="11"/>
      <c r="K12" s="19">
        <v>525</v>
      </c>
      <c r="L12" s="12">
        <f>225</f>
        <v>225</v>
      </c>
      <c r="M12" s="12">
        <v>925</v>
      </c>
      <c r="N12" s="12"/>
      <c r="O12" s="14">
        <f t="shared" si="0"/>
        <v>19172.877312500001</v>
      </c>
      <c r="P12" s="19">
        <f t="shared" ref="P12:P21" si="5">(E12*0.01)</f>
        <v>130.98877312499999</v>
      </c>
      <c r="Q12" s="19">
        <f>1000</f>
        <v>1000</v>
      </c>
      <c r="R12" s="19">
        <f t="shared" si="4"/>
        <v>916.92141187499999</v>
      </c>
      <c r="S12" s="11">
        <f t="shared" si="3"/>
        <v>916.92141187499999</v>
      </c>
      <c r="T12" s="19">
        <v>2517.0251438999999</v>
      </c>
      <c r="U12" s="21"/>
      <c r="V12" s="22"/>
      <c r="W12" s="22"/>
      <c r="X12" s="22">
        <v>966.64</v>
      </c>
      <c r="Y12" s="22"/>
      <c r="Z12" s="16">
        <f t="shared" si="1"/>
        <v>6448.496740775</v>
      </c>
      <c r="AA12" s="17">
        <f t="shared" si="2"/>
        <v>12724.380571725</v>
      </c>
    </row>
    <row r="13" spans="2:27" ht="22.5" x14ac:dyDescent="0.25">
      <c r="B13" s="7" t="s">
        <v>60</v>
      </c>
      <c r="C13" s="23" t="s">
        <v>30</v>
      </c>
      <c r="D13" s="24">
        <v>7</v>
      </c>
      <c r="E13" s="10">
        <f>11939.2455*1.025</f>
        <v>12237.7266375</v>
      </c>
      <c r="F13" s="12">
        <v>1133</v>
      </c>
      <c r="G13" s="12">
        <v>1133</v>
      </c>
      <c r="H13" s="12">
        <v>1133</v>
      </c>
      <c r="I13" s="12">
        <v>1000</v>
      </c>
      <c r="J13" s="11">
        <v>295</v>
      </c>
      <c r="K13" s="19">
        <v>491</v>
      </c>
      <c r="L13" s="19">
        <v>325</v>
      </c>
      <c r="M13" s="19">
        <v>893</v>
      </c>
      <c r="N13" s="19"/>
      <c r="O13" s="14">
        <f t="shared" si="0"/>
        <v>18640.7266375</v>
      </c>
      <c r="P13" s="19">
        <f t="shared" si="5"/>
        <v>122.377266375</v>
      </c>
      <c r="Q13" s="19"/>
      <c r="R13" s="19">
        <f t="shared" si="4"/>
        <v>856.64086462500006</v>
      </c>
      <c r="S13" s="11">
        <f t="shared" si="3"/>
        <v>856.64086462500006</v>
      </c>
      <c r="T13" s="19">
        <v>2377.52591377</v>
      </c>
      <c r="U13" s="22"/>
      <c r="V13" s="21"/>
      <c r="W13" s="21"/>
      <c r="X13" s="21"/>
      <c r="Y13" s="21"/>
      <c r="Z13" s="16">
        <f t="shared" si="1"/>
        <v>4213.1849093950004</v>
      </c>
      <c r="AA13" s="17">
        <f t="shared" si="2"/>
        <v>14427.541728104999</v>
      </c>
    </row>
    <row r="14" spans="2:27" x14ac:dyDescent="0.25">
      <c r="B14" s="7" t="s">
        <v>60</v>
      </c>
      <c r="C14" s="23" t="s">
        <v>31</v>
      </c>
      <c r="D14" s="24">
        <v>7</v>
      </c>
      <c r="E14" s="10">
        <f>11939.2455*1.025</f>
        <v>12237.7266375</v>
      </c>
      <c r="F14" s="12">
        <v>1133</v>
      </c>
      <c r="G14" s="12">
        <v>1133</v>
      </c>
      <c r="H14" s="12">
        <v>1133</v>
      </c>
      <c r="I14" s="12">
        <v>1000</v>
      </c>
      <c r="J14" s="11">
        <v>295</v>
      </c>
      <c r="K14" s="19">
        <v>491</v>
      </c>
      <c r="L14" s="19"/>
      <c r="M14" s="19">
        <v>893</v>
      </c>
      <c r="N14" s="19"/>
      <c r="O14" s="14">
        <f t="shared" si="0"/>
        <v>18315.7266375</v>
      </c>
      <c r="P14" s="19">
        <f t="shared" si="5"/>
        <v>122.377266375</v>
      </c>
      <c r="Q14" s="19"/>
      <c r="R14" s="19">
        <f t="shared" si="4"/>
        <v>856.64086462500006</v>
      </c>
      <c r="S14" s="11">
        <f t="shared" si="3"/>
        <v>856.64086462500006</v>
      </c>
      <c r="T14" s="19">
        <v>2308.1059137700004</v>
      </c>
      <c r="U14" s="21"/>
      <c r="V14" s="22"/>
      <c r="W14" s="21"/>
      <c r="X14" s="21"/>
      <c r="Y14" s="21"/>
      <c r="Z14" s="16">
        <f t="shared" si="1"/>
        <v>4143.7649093950004</v>
      </c>
      <c r="AA14" s="17">
        <f t="shared" si="2"/>
        <v>14171.961728105</v>
      </c>
    </row>
    <row r="15" spans="2:27" x14ac:dyDescent="0.25">
      <c r="B15" s="7" t="s">
        <v>60</v>
      </c>
      <c r="C15" s="8" t="s">
        <v>32</v>
      </c>
      <c r="D15" s="9">
        <v>5</v>
      </c>
      <c r="E15" s="10">
        <f>10472.385*1.025</f>
        <v>10734.194625</v>
      </c>
      <c r="F15" s="12">
        <v>1133</v>
      </c>
      <c r="G15" s="12">
        <v>1133</v>
      </c>
      <c r="H15" s="12">
        <v>1133</v>
      </c>
      <c r="I15" s="12">
        <v>1000</v>
      </c>
      <c r="J15" s="12">
        <v>260</v>
      </c>
      <c r="K15" s="19"/>
      <c r="L15" s="19">
        <f>525</f>
        <v>525</v>
      </c>
      <c r="M15" s="19">
        <v>838</v>
      </c>
      <c r="N15" s="19"/>
      <c r="O15" s="14">
        <f t="shared" si="0"/>
        <v>16756.194625</v>
      </c>
      <c r="P15" s="19">
        <f t="shared" si="5"/>
        <v>107.34194625000001</v>
      </c>
      <c r="Q15" s="19"/>
      <c r="R15" s="19">
        <f t="shared" si="4"/>
        <v>751.39362375000007</v>
      </c>
      <c r="S15" s="11">
        <f t="shared" si="3"/>
        <v>751.39362375000007</v>
      </c>
      <c r="T15" s="19">
        <v>2037.0406759000002</v>
      </c>
      <c r="U15" s="21">
        <f>2583</f>
        <v>2583</v>
      </c>
      <c r="V15" s="22">
        <f>2833.34</f>
        <v>2833.34</v>
      </c>
      <c r="W15" s="22"/>
      <c r="X15" s="22"/>
      <c r="Y15" s="22"/>
      <c r="Z15" s="16">
        <f t="shared" si="1"/>
        <v>9063.5098696500008</v>
      </c>
      <c r="AA15" s="17">
        <f t="shared" si="2"/>
        <v>7692.6847553499993</v>
      </c>
    </row>
    <row r="16" spans="2:27" x14ac:dyDescent="0.25">
      <c r="B16" s="7" t="s">
        <v>60</v>
      </c>
      <c r="C16" s="8" t="s">
        <v>33</v>
      </c>
      <c r="D16" s="9">
        <v>5</v>
      </c>
      <c r="E16" s="10">
        <f>10472.385*1.025</f>
        <v>10734.194625</v>
      </c>
      <c r="F16" s="12">
        <v>1133</v>
      </c>
      <c r="G16" s="12">
        <v>1133</v>
      </c>
      <c r="H16" s="12">
        <v>1133</v>
      </c>
      <c r="I16" s="12">
        <v>1000</v>
      </c>
      <c r="J16" s="12">
        <v>260</v>
      </c>
      <c r="K16" s="19"/>
      <c r="L16" s="12"/>
      <c r="M16" s="19">
        <v>838</v>
      </c>
      <c r="N16" s="19"/>
      <c r="O16" s="14">
        <f t="shared" si="0"/>
        <v>16231.194625</v>
      </c>
      <c r="P16" s="19">
        <f t="shared" si="5"/>
        <v>107.34194625000001</v>
      </c>
      <c r="Q16" s="19">
        <f>500</f>
        <v>500</v>
      </c>
      <c r="R16" s="19">
        <f t="shared" si="4"/>
        <v>751.39362375000007</v>
      </c>
      <c r="S16" s="11">
        <f t="shared" si="3"/>
        <v>751.39362375000007</v>
      </c>
      <c r="T16" s="19">
        <v>1924.9006759000004</v>
      </c>
      <c r="U16" s="21"/>
      <c r="V16" s="22"/>
      <c r="W16" s="22"/>
      <c r="X16" s="22"/>
      <c r="Y16" s="22"/>
      <c r="Z16" s="16">
        <f t="shared" si="1"/>
        <v>4035.0298696500004</v>
      </c>
      <c r="AA16" s="17">
        <f t="shared" si="2"/>
        <v>12196.164755350001</v>
      </c>
    </row>
    <row r="17" spans="2:28" x14ac:dyDescent="0.25">
      <c r="B17" s="7" t="s">
        <v>60</v>
      </c>
      <c r="C17" s="8" t="s">
        <v>34</v>
      </c>
      <c r="D17" s="9">
        <v>4</v>
      </c>
      <c r="E17" s="10">
        <f>9192.729*1.025</f>
        <v>9422.5472249999984</v>
      </c>
      <c r="F17" s="12">
        <v>1133</v>
      </c>
      <c r="G17" s="12">
        <v>1133</v>
      </c>
      <c r="H17" s="12">
        <v>1133</v>
      </c>
      <c r="I17" s="12">
        <v>1000</v>
      </c>
      <c r="J17" s="12">
        <v>230</v>
      </c>
      <c r="K17" s="19"/>
      <c r="L17" s="12"/>
      <c r="M17" s="19">
        <v>790</v>
      </c>
      <c r="N17" s="19"/>
      <c r="O17" s="14">
        <f t="shared" si="0"/>
        <v>14841.547224999998</v>
      </c>
      <c r="P17" s="19">
        <f t="shared" si="5"/>
        <v>94.225472249999981</v>
      </c>
      <c r="Q17" s="19"/>
      <c r="R17" s="19">
        <f t="shared" si="4"/>
        <v>659.57830574999991</v>
      </c>
      <c r="S17" s="11">
        <f t="shared" si="3"/>
        <v>659.57830574999991</v>
      </c>
      <c r="T17" s="19">
        <v>1636.4023912599998</v>
      </c>
      <c r="U17" s="21"/>
      <c r="V17" s="22"/>
      <c r="W17" s="22"/>
      <c r="X17" s="22"/>
      <c r="Y17" s="22"/>
      <c r="Z17" s="16">
        <f t="shared" si="1"/>
        <v>3049.7844750099994</v>
      </c>
      <c r="AA17" s="17">
        <f t="shared" si="2"/>
        <v>11791.762749989999</v>
      </c>
    </row>
    <row r="18" spans="2:28" x14ac:dyDescent="0.25">
      <c r="B18" s="7" t="s">
        <v>60</v>
      </c>
      <c r="C18" s="8" t="s">
        <v>35</v>
      </c>
      <c r="D18" s="9">
        <v>4</v>
      </c>
      <c r="E18" s="10">
        <f>9192.729*1.025</f>
        <v>9422.5472249999984</v>
      </c>
      <c r="F18" s="12">
        <v>1133</v>
      </c>
      <c r="G18" s="12">
        <v>1133</v>
      </c>
      <c r="H18" s="12">
        <v>1133</v>
      </c>
      <c r="I18" s="12">
        <v>1000</v>
      </c>
      <c r="J18" s="12">
        <v>230</v>
      </c>
      <c r="K18" s="19"/>
      <c r="L18" s="12"/>
      <c r="M18" s="19">
        <v>790</v>
      </c>
      <c r="N18" s="19"/>
      <c r="O18" s="14">
        <f t="shared" si="0"/>
        <v>14841.547224999998</v>
      </c>
      <c r="P18" s="19">
        <f t="shared" si="5"/>
        <v>94.225472249999981</v>
      </c>
      <c r="Q18" s="19">
        <f>500</f>
        <v>500</v>
      </c>
      <c r="R18" s="19">
        <f t="shared" si="4"/>
        <v>659.57830574999991</v>
      </c>
      <c r="S18" s="11">
        <f t="shared" si="3"/>
        <v>659.57830574999991</v>
      </c>
      <c r="T18" s="19">
        <v>1636.4023912599998</v>
      </c>
      <c r="U18" s="21"/>
      <c r="V18" s="22"/>
      <c r="W18" s="22"/>
      <c r="X18" s="22"/>
      <c r="Y18" s="22"/>
      <c r="Z18" s="16">
        <f t="shared" si="1"/>
        <v>3549.7844750099994</v>
      </c>
      <c r="AA18" s="17">
        <f t="shared" si="2"/>
        <v>11291.762749989999</v>
      </c>
    </row>
    <row r="19" spans="2:28" x14ac:dyDescent="0.25">
      <c r="B19" s="7" t="s">
        <v>60</v>
      </c>
      <c r="C19" s="8" t="s">
        <v>36</v>
      </c>
      <c r="D19" s="9">
        <v>2</v>
      </c>
      <c r="E19" s="10">
        <f>7675.6365*1.025</f>
        <v>7867.5274124999987</v>
      </c>
      <c r="F19" s="12">
        <v>1133</v>
      </c>
      <c r="G19" s="12">
        <v>1133</v>
      </c>
      <c r="H19" s="12">
        <v>1133</v>
      </c>
      <c r="I19" s="12">
        <v>1000</v>
      </c>
      <c r="J19" s="12">
        <v>190</v>
      </c>
      <c r="K19" s="19"/>
      <c r="L19" s="12"/>
      <c r="M19" s="19">
        <v>733</v>
      </c>
      <c r="N19" s="19">
        <v>800</v>
      </c>
      <c r="O19" s="14">
        <f t="shared" si="0"/>
        <v>13989.5274125</v>
      </c>
      <c r="P19" s="19">
        <f t="shared" si="5"/>
        <v>78.675274124999987</v>
      </c>
      <c r="Q19" s="19">
        <f>1000</f>
        <v>1000</v>
      </c>
      <c r="R19" s="19">
        <f t="shared" si="4"/>
        <v>550.72691887499991</v>
      </c>
      <c r="S19" s="11">
        <f t="shared" si="3"/>
        <v>550.72691887499991</v>
      </c>
      <c r="T19" s="19">
        <v>1379.3305593099999</v>
      </c>
      <c r="U19" s="21"/>
      <c r="V19" s="22"/>
      <c r="W19" s="22"/>
      <c r="X19" s="22"/>
      <c r="Y19" s="22"/>
      <c r="Z19" s="16">
        <f t="shared" si="1"/>
        <v>3559.4596711849995</v>
      </c>
      <c r="AA19" s="17">
        <f t="shared" si="2"/>
        <v>10430.067741315001</v>
      </c>
    </row>
    <row r="20" spans="2:28" x14ac:dyDescent="0.25">
      <c r="B20" s="7" t="s">
        <v>60</v>
      </c>
      <c r="C20" s="8" t="s">
        <v>37</v>
      </c>
      <c r="D20" s="9">
        <v>2</v>
      </c>
      <c r="E20" s="10">
        <f>7675.6365*1.025</f>
        <v>7867.5274124999987</v>
      </c>
      <c r="F20" s="12">
        <v>1133</v>
      </c>
      <c r="G20" s="12">
        <v>1133</v>
      </c>
      <c r="H20" s="12">
        <v>1133</v>
      </c>
      <c r="I20" s="12">
        <v>1000</v>
      </c>
      <c r="J20" s="12">
        <v>190</v>
      </c>
      <c r="K20" s="19"/>
      <c r="L20" s="12"/>
      <c r="M20" s="19">
        <v>733</v>
      </c>
      <c r="N20" s="19"/>
      <c r="O20" s="14">
        <f t="shared" si="0"/>
        <v>13189.5274125</v>
      </c>
      <c r="P20" s="19">
        <f t="shared" si="5"/>
        <v>78.675274124999987</v>
      </c>
      <c r="Q20" s="19">
        <f>500</f>
        <v>500</v>
      </c>
      <c r="R20" s="19">
        <f t="shared" si="4"/>
        <v>550.72691887499991</v>
      </c>
      <c r="S20" s="11">
        <f t="shared" si="3"/>
        <v>550.72691887499991</v>
      </c>
      <c r="T20" s="19">
        <v>1293.8905593100001</v>
      </c>
      <c r="U20" s="21"/>
      <c r="V20" s="22"/>
      <c r="W20" s="22"/>
      <c r="X20" s="22">
        <v>966.64</v>
      </c>
      <c r="Y20" s="22">
        <v>1325</v>
      </c>
      <c r="Z20" s="16">
        <f t="shared" si="1"/>
        <v>5265.6596711849998</v>
      </c>
      <c r="AA20" s="17">
        <f t="shared" si="2"/>
        <v>7923.8677413149999</v>
      </c>
    </row>
    <row r="21" spans="2:28" ht="22.5" x14ac:dyDescent="0.25">
      <c r="B21" s="7" t="s">
        <v>60</v>
      </c>
      <c r="C21" s="8" t="s">
        <v>38</v>
      </c>
      <c r="D21" s="9"/>
      <c r="E21" s="10">
        <f>7204.1865*1.025</f>
        <v>7384.2911624999988</v>
      </c>
      <c r="F21" s="12">
        <v>1133</v>
      </c>
      <c r="G21" s="12">
        <v>1133</v>
      </c>
      <c r="H21" s="12">
        <v>1133</v>
      </c>
      <c r="I21" s="12">
        <v>1000</v>
      </c>
      <c r="J21" s="12">
        <v>180</v>
      </c>
      <c r="K21" s="19"/>
      <c r="L21" s="12"/>
      <c r="M21" s="19">
        <v>715</v>
      </c>
      <c r="N21" s="19">
        <v>800</v>
      </c>
      <c r="O21" s="14">
        <f t="shared" si="0"/>
        <v>13478.291162499998</v>
      </c>
      <c r="P21" s="19">
        <f t="shared" si="5"/>
        <v>73.842911624999985</v>
      </c>
      <c r="Q21" s="19">
        <f>500</f>
        <v>500</v>
      </c>
      <c r="R21" s="19">
        <f t="shared" si="4"/>
        <v>516.90038137499994</v>
      </c>
      <c r="S21" s="11">
        <f t="shared" si="3"/>
        <v>516.90038137499994</v>
      </c>
      <c r="T21" s="19">
        <v>1273.1208963099998</v>
      </c>
      <c r="U21" s="21"/>
      <c r="V21" s="22"/>
      <c r="W21" s="22"/>
      <c r="X21" s="22"/>
      <c r="Y21" s="22"/>
      <c r="Z21" s="16">
        <f t="shared" si="1"/>
        <v>2880.7645706849999</v>
      </c>
      <c r="AA21" s="17">
        <f t="shared" si="2"/>
        <v>10597.526591814998</v>
      </c>
    </row>
    <row r="22" spans="2:28" ht="22.5" x14ac:dyDescent="0.25">
      <c r="B22" s="7" t="s">
        <v>60</v>
      </c>
      <c r="C22" s="8" t="s">
        <v>39</v>
      </c>
      <c r="D22" s="9">
        <v>1</v>
      </c>
      <c r="E22" s="10">
        <f>7204.1865*1.025</f>
        <v>7384.2911624999988</v>
      </c>
      <c r="F22" s="12">
        <v>1133</v>
      </c>
      <c r="G22" s="12">
        <v>1133</v>
      </c>
      <c r="H22" s="12">
        <v>1133</v>
      </c>
      <c r="I22" s="12">
        <v>1000</v>
      </c>
      <c r="J22" s="12">
        <v>180</v>
      </c>
      <c r="K22" s="19"/>
      <c r="L22" s="12"/>
      <c r="M22" s="19">
        <v>715</v>
      </c>
      <c r="N22" s="19"/>
      <c r="O22" s="14">
        <f t="shared" si="0"/>
        <v>12678.291162499998</v>
      </c>
      <c r="P22" s="19"/>
      <c r="Q22" s="19"/>
      <c r="R22" s="19">
        <f t="shared" si="4"/>
        <v>516.90038137499994</v>
      </c>
      <c r="S22" s="11">
        <f t="shared" si="3"/>
        <v>516.90038137499994</v>
      </c>
      <c r="T22" s="19">
        <v>1187.6808963099998</v>
      </c>
      <c r="U22" s="21"/>
      <c r="V22" s="22"/>
      <c r="W22" s="22">
        <v>1702.93</v>
      </c>
      <c r="X22" s="22"/>
      <c r="Y22" s="22"/>
      <c r="Z22" s="16">
        <f t="shared" si="1"/>
        <v>3924.4116590599997</v>
      </c>
      <c r="AA22" s="17">
        <f t="shared" si="2"/>
        <v>8753.8795034399991</v>
      </c>
    </row>
    <row r="23" spans="2:28" ht="22.5" x14ac:dyDescent="0.25">
      <c r="B23" s="7" t="s">
        <v>61</v>
      </c>
      <c r="C23" s="8" t="s">
        <v>40</v>
      </c>
      <c r="D23" s="9"/>
      <c r="E23" s="10">
        <f>6069.96</f>
        <v>6069.96</v>
      </c>
      <c r="F23" s="28"/>
      <c r="G23" s="28"/>
      <c r="H23" s="28"/>
      <c r="I23" s="25"/>
      <c r="J23" s="26"/>
      <c r="K23" s="26"/>
      <c r="L23" s="26"/>
      <c r="M23" s="19"/>
      <c r="N23" s="19"/>
      <c r="O23" s="14">
        <f t="shared" si="0"/>
        <v>6069.96</v>
      </c>
      <c r="P23" s="19"/>
      <c r="Q23" s="26"/>
      <c r="R23" s="26"/>
      <c r="S23" s="11"/>
      <c r="T23" s="19">
        <v>527.76699999999994</v>
      </c>
      <c r="U23" s="21"/>
      <c r="V23" s="22"/>
      <c r="W23" s="22"/>
      <c r="X23" s="22"/>
      <c r="Y23" s="22"/>
      <c r="Z23" s="16">
        <f t="shared" si="1"/>
        <v>527.76699999999994</v>
      </c>
      <c r="AA23" s="17">
        <f t="shared" si="2"/>
        <v>5542.1930000000002</v>
      </c>
    </row>
    <row r="24" spans="2:28" x14ac:dyDescent="0.25">
      <c r="B24" s="7" t="s">
        <v>61</v>
      </c>
      <c r="C24" s="23" t="s">
        <v>41</v>
      </c>
      <c r="D24" s="29"/>
      <c r="E24" s="30">
        <f>3018.5</f>
        <v>3018.5</v>
      </c>
      <c r="F24" s="28"/>
      <c r="G24" s="28"/>
      <c r="H24" s="28"/>
      <c r="I24" s="25"/>
      <c r="J24" s="26"/>
      <c r="K24" s="26"/>
      <c r="L24" s="26"/>
      <c r="M24" s="19"/>
      <c r="N24" s="19"/>
      <c r="O24" s="14">
        <f t="shared" si="0"/>
        <v>3018.5</v>
      </c>
      <c r="P24" s="19"/>
      <c r="Q24" s="26"/>
      <c r="R24" s="26"/>
      <c r="S24" s="11"/>
      <c r="T24" s="19">
        <v>176.47039999999998</v>
      </c>
      <c r="U24" s="21"/>
      <c r="V24" s="22"/>
      <c r="W24" s="22"/>
      <c r="X24" s="22"/>
      <c r="Y24" s="22"/>
      <c r="Z24" s="16">
        <f t="shared" si="1"/>
        <v>176.47039999999998</v>
      </c>
      <c r="AA24" s="17">
        <f t="shared" si="2"/>
        <v>2842.0295999999998</v>
      </c>
    </row>
    <row r="25" spans="2:28" ht="15.75" thickBot="1" x14ac:dyDescent="0.3">
      <c r="B25" s="31" t="s">
        <v>42</v>
      </c>
      <c r="C25" s="32"/>
      <c r="D25" s="33"/>
      <c r="E25" s="34">
        <f t="shared" ref="E25:AA25" si="6">SUM(E4:E24)</f>
        <v>238122.87256449627</v>
      </c>
      <c r="F25" s="34">
        <f t="shared" si="6"/>
        <v>17196</v>
      </c>
      <c r="G25" s="34">
        <f t="shared" si="6"/>
        <v>18096</v>
      </c>
      <c r="H25" s="34">
        <f t="shared" si="6"/>
        <v>17196</v>
      </c>
      <c r="I25" s="34">
        <f t="shared" si="6"/>
        <v>16000</v>
      </c>
      <c r="J25" s="34">
        <f t="shared" si="6"/>
        <v>2310</v>
      </c>
      <c r="K25" s="34">
        <f t="shared" si="6"/>
        <v>4929</v>
      </c>
      <c r="L25" s="34">
        <f t="shared" si="6"/>
        <v>1075</v>
      </c>
      <c r="M25" s="34">
        <f t="shared" si="6"/>
        <v>9862</v>
      </c>
      <c r="N25" s="34">
        <f t="shared" si="6"/>
        <v>1600</v>
      </c>
      <c r="O25" s="34">
        <f t="shared" si="6"/>
        <v>326386.87256449624</v>
      </c>
      <c r="P25" s="34">
        <f t="shared" si="6"/>
        <v>1010.0716027499998</v>
      </c>
      <c r="Q25" s="34">
        <f t="shared" si="6"/>
        <v>4000</v>
      </c>
      <c r="R25" s="34">
        <f t="shared" si="6"/>
        <v>8645.9360795147404</v>
      </c>
      <c r="S25" s="34">
        <f t="shared" si="6"/>
        <v>16032.408879514742</v>
      </c>
      <c r="T25" s="34">
        <f t="shared" si="6"/>
        <v>41687.018906069519</v>
      </c>
      <c r="U25" s="34">
        <f t="shared" si="6"/>
        <v>2583</v>
      </c>
      <c r="V25" s="34">
        <f t="shared" si="6"/>
        <v>2833.34</v>
      </c>
      <c r="W25" s="34">
        <f t="shared" si="6"/>
        <v>1702.93</v>
      </c>
      <c r="X25" s="34">
        <f t="shared" si="6"/>
        <v>1933.28</v>
      </c>
      <c r="Y25" s="34">
        <f t="shared" si="6"/>
        <v>1325</v>
      </c>
      <c r="Z25" s="34">
        <f t="shared" si="6"/>
        <v>81752.985467849023</v>
      </c>
      <c r="AA25" s="34">
        <f t="shared" si="6"/>
        <v>244633.88709664726</v>
      </c>
      <c r="AB25" s="18"/>
    </row>
    <row r="30" spans="2:28" x14ac:dyDescent="0.25">
      <c r="B30" t="s">
        <v>58</v>
      </c>
      <c r="C30" t="s">
        <v>54</v>
      </c>
    </row>
    <row r="31" spans="2:28" x14ac:dyDescent="0.25">
      <c r="B31" t="s">
        <v>59</v>
      </c>
      <c r="C31" t="s">
        <v>55</v>
      </c>
    </row>
    <row r="32" spans="2:28" x14ac:dyDescent="0.25">
      <c r="B32" t="s">
        <v>60</v>
      </c>
      <c r="C32" t="s">
        <v>62</v>
      </c>
    </row>
    <row r="33" spans="2:3" x14ac:dyDescent="0.25">
      <c r="B33" t="s">
        <v>61</v>
      </c>
      <c r="C33" t="s">
        <v>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2"/>
  <sheetViews>
    <sheetView workbookViewId="0">
      <selection activeCell="B4" sqref="B4:B24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5" width="8.7109375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3" width="8.5703125" customWidth="1"/>
    <col min="24" max="25" width="10.140625" customWidth="1"/>
    <col min="26" max="26" width="9.5703125" customWidth="1"/>
    <col min="27" max="27" width="12.5703125" bestFit="1" customWidth="1"/>
    <col min="28" max="28" width="14.140625" bestFit="1" customWidth="1"/>
  </cols>
  <sheetData>
    <row r="1" spans="2:27" ht="18.75" x14ac:dyDescent="0.25">
      <c r="E1" s="1"/>
      <c r="F1" s="2" t="s">
        <v>86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7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7" ht="48.75" customHeight="1" x14ac:dyDescent="0.25">
      <c r="B3" s="40"/>
      <c r="C3" s="40"/>
      <c r="D3" s="3" t="s">
        <v>1</v>
      </c>
      <c r="E3" s="44" t="s">
        <v>2</v>
      </c>
      <c r="F3" s="45" t="s">
        <v>3</v>
      </c>
      <c r="G3" s="45" t="s">
        <v>4</v>
      </c>
      <c r="H3" s="45" t="s">
        <v>5</v>
      </c>
      <c r="I3" s="45" t="s">
        <v>6</v>
      </c>
      <c r="J3" s="45" t="s">
        <v>7</v>
      </c>
      <c r="K3" s="45" t="s">
        <v>8</v>
      </c>
      <c r="L3" s="45" t="s">
        <v>9</v>
      </c>
      <c r="M3" s="45" t="s">
        <v>10</v>
      </c>
      <c r="N3" s="45" t="s">
        <v>11</v>
      </c>
      <c r="O3" s="46" t="s">
        <v>67</v>
      </c>
      <c r="P3" s="41"/>
      <c r="Q3" s="4" t="s">
        <v>13</v>
      </c>
      <c r="R3" s="4" t="s">
        <v>14</v>
      </c>
      <c r="S3" s="4" t="s">
        <v>15</v>
      </c>
      <c r="T3" s="4" t="s">
        <v>16</v>
      </c>
      <c r="U3" s="4" t="s">
        <v>17</v>
      </c>
      <c r="V3" s="5" t="s">
        <v>18</v>
      </c>
      <c r="W3" s="6" t="s">
        <v>20</v>
      </c>
      <c r="X3" s="42" t="s">
        <v>0</v>
      </c>
      <c r="Y3" s="42" t="s">
        <v>52</v>
      </c>
      <c r="Z3" s="42"/>
      <c r="AA3" s="43"/>
    </row>
    <row r="4" spans="2:27" x14ac:dyDescent="0.25">
      <c r="B4" s="7" t="s">
        <v>58</v>
      </c>
      <c r="C4" s="8" t="s">
        <v>21</v>
      </c>
      <c r="D4" s="9">
        <v>17</v>
      </c>
      <c r="E4" s="10">
        <f>38573.38/2</f>
        <v>19286.689999999999</v>
      </c>
      <c r="F4" s="12">
        <v>200</v>
      </c>
      <c r="G4" s="11"/>
      <c r="H4" s="12"/>
      <c r="I4" s="11"/>
      <c r="J4" s="11"/>
      <c r="K4" s="11"/>
      <c r="L4" s="11"/>
      <c r="M4" s="11"/>
      <c r="N4" s="13"/>
      <c r="O4" s="13"/>
      <c r="P4" s="14">
        <f t="shared" ref="P4:P23" si="0">SUM(E4:O4)</f>
        <v>19486.689999999999</v>
      </c>
      <c r="Q4" s="11"/>
      <c r="R4" s="11"/>
      <c r="S4" s="11"/>
      <c r="T4" s="11">
        <f t="shared" ref="T4:T22" si="1">(E4*0.07)</f>
        <v>1350.0683000000001</v>
      </c>
      <c r="U4" s="11">
        <v>3388.3970879999997</v>
      </c>
      <c r="V4" s="15"/>
      <c r="W4" s="16"/>
      <c r="X4" s="16"/>
      <c r="Y4" s="16"/>
      <c r="Z4" s="16">
        <f t="shared" ref="Z4:Z24" si="2">SUM(Q4:Y4)</f>
        <v>4738.4653879999996</v>
      </c>
      <c r="AA4" s="17">
        <f t="shared" ref="AA4:AA24" si="3">+P4-Z4</f>
        <v>14748.224611999998</v>
      </c>
    </row>
    <row r="5" spans="2:27" x14ac:dyDescent="0.25">
      <c r="B5" s="7" t="s">
        <v>58</v>
      </c>
      <c r="C5" s="8" t="s">
        <v>22</v>
      </c>
      <c r="D5" s="9">
        <v>14</v>
      </c>
      <c r="E5" s="10">
        <f>14917.51</f>
        <v>14917.51</v>
      </c>
      <c r="F5" s="12">
        <v>200</v>
      </c>
      <c r="G5" s="19"/>
      <c r="H5" s="12"/>
      <c r="I5" s="19"/>
      <c r="J5" s="19"/>
      <c r="K5" s="19"/>
      <c r="L5" s="19"/>
      <c r="M5" s="19"/>
      <c r="N5" s="20"/>
      <c r="O5" s="20"/>
      <c r="P5" s="14">
        <f t="shared" si="0"/>
        <v>15117.51</v>
      </c>
      <c r="Q5" s="19"/>
      <c r="R5" s="19"/>
      <c r="S5" s="19"/>
      <c r="T5" s="11">
        <f t="shared" si="1"/>
        <v>1044.2257000000002</v>
      </c>
      <c r="U5" s="19">
        <v>2373.7416400000002</v>
      </c>
      <c r="V5" s="21"/>
      <c r="W5" s="22"/>
      <c r="X5" s="22"/>
      <c r="Y5" s="22"/>
      <c r="Z5" s="16">
        <f t="shared" si="2"/>
        <v>3417.9673400000001</v>
      </c>
      <c r="AA5" s="17">
        <f t="shared" si="3"/>
        <v>11699.542659999999</v>
      </c>
    </row>
    <row r="6" spans="2:27" x14ac:dyDescent="0.25">
      <c r="B6" s="7" t="s">
        <v>58</v>
      </c>
      <c r="C6" s="8" t="s">
        <v>23</v>
      </c>
      <c r="D6" s="9">
        <v>14</v>
      </c>
      <c r="E6" s="10">
        <f>14917.51</f>
        <v>14917.51</v>
      </c>
      <c r="F6" s="12">
        <v>200</v>
      </c>
      <c r="G6" s="19"/>
      <c r="H6" s="12"/>
      <c r="I6" s="19"/>
      <c r="J6" s="19"/>
      <c r="K6" s="19"/>
      <c r="L6" s="19"/>
      <c r="M6" s="19"/>
      <c r="N6" s="20"/>
      <c r="O6" s="20"/>
      <c r="P6" s="14">
        <f t="shared" si="0"/>
        <v>15117.51</v>
      </c>
      <c r="Q6" s="19"/>
      <c r="R6" s="19"/>
      <c r="S6" s="19"/>
      <c r="T6" s="11">
        <f t="shared" si="1"/>
        <v>1044.2257000000002</v>
      </c>
      <c r="U6" s="19">
        <v>2373.7416400000002</v>
      </c>
      <c r="V6" s="21"/>
      <c r="W6" s="22"/>
      <c r="X6" s="22"/>
      <c r="Y6" s="22"/>
      <c r="Z6" s="16">
        <f t="shared" si="2"/>
        <v>3417.9673400000001</v>
      </c>
      <c r="AA6" s="17">
        <f t="shared" si="3"/>
        <v>11699.542659999999</v>
      </c>
    </row>
    <row r="7" spans="2:27" x14ac:dyDescent="0.25">
      <c r="B7" s="7" t="s">
        <v>59</v>
      </c>
      <c r="C7" s="8" t="s">
        <v>24</v>
      </c>
      <c r="D7" s="9">
        <v>13</v>
      </c>
      <c r="E7" s="10">
        <f>15022.1</f>
        <v>15022.1</v>
      </c>
      <c r="F7" s="12">
        <v>900</v>
      </c>
      <c r="G7" s="12">
        <v>900</v>
      </c>
      <c r="H7" s="12">
        <v>900</v>
      </c>
      <c r="I7" s="12">
        <v>3000</v>
      </c>
      <c r="J7" s="19">
        <v>3341.8</v>
      </c>
      <c r="K7" s="19">
        <v>733</v>
      </c>
      <c r="L7" s="12"/>
      <c r="M7" s="19"/>
      <c r="N7" s="20">
        <f t="shared" ref="N7:N14" si="4">(E7/15)*2</f>
        <v>2002.9466666666667</v>
      </c>
      <c r="O7" s="20">
        <f t="shared" ref="O7:O22" si="5">(E7/15)*4</f>
        <v>4005.8933333333334</v>
      </c>
      <c r="P7" s="14">
        <f t="shared" si="0"/>
        <v>30805.739999999998</v>
      </c>
      <c r="Q7" s="19"/>
      <c r="R7" s="19"/>
      <c r="S7" s="19"/>
      <c r="T7" s="11">
        <f t="shared" si="1"/>
        <v>1051.547</v>
      </c>
      <c r="U7" s="19">
        <v>3900.4815840000001</v>
      </c>
      <c r="V7" s="21"/>
      <c r="W7" s="22"/>
      <c r="X7" s="22"/>
      <c r="Y7" s="22"/>
      <c r="Z7" s="16">
        <f t="shared" si="2"/>
        <v>4952.0285839999997</v>
      </c>
      <c r="AA7" s="17">
        <f t="shared" si="3"/>
        <v>25853.711415999998</v>
      </c>
    </row>
    <row r="8" spans="2:27" ht="15" customHeight="1" x14ac:dyDescent="0.25">
      <c r="B8" s="7" t="s">
        <v>59</v>
      </c>
      <c r="C8" s="8" t="s">
        <v>25</v>
      </c>
      <c r="D8" s="9">
        <v>13</v>
      </c>
      <c r="E8" s="10">
        <f>15022.1</f>
        <v>15022.1</v>
      </c>
      <c r="F8" s="12">
        <v>900</v>
      </c>
      <c r="G8" s="12">
        <v>900</v>
      </c>
      <c r="H8" s="12">
        <v>900</v>
      </c>
      <c r="I8" s="12">
        <v>3000</v>
      </c>
      <c r="J8" s="19">
        <v>3341.8</v>
      </c>
      <c r="K8" s="19">
        <v>733</v>
      </c>
      <c r="L8" s="12"/>
      <c r="M8" s="19"/>
      <c r="N8" s="20">
        <f t="shared" si="4"/>
        <v>2002.9466666666667</v>
      </c>
      <c r="O8" s="20">
        <f t="shared" si="5"/>
        <v>4005.8933333333334</v>
      </c>
      <c r="P8" s="14">
        <f t="shared" si="0"/>
        <v>30805.739999999998</v>
      </c>
      <c r="Q8" s="19"/>
      <c r="R8" s="19"/>
      <c r="S8" s="19"/>
      <c r="T8" s="11">
        <f t="shared" si="1"/>
        <v>1051.547</v>
      </c>
      <c r="U8" s="19">
        <v>3900.4815840000001</v>
      </c>
      <c r="V8" s="21"/>
      <c r="W8" s="22"/>
      <c r="X8" s="22"/>
      <c r="Y8" s="22"/>
      <c r="Z8" s="16">
        <f t="shared" si="2"/>
        <v>4952.0285839999997</v>
      </c>
      <c r="AA8" s="17">
        <f t="shared" si="3"/>
        <v>25853.711415999998</v>
      </c>
    </row>
    <row r="9" spans="2:27" ht="15" customHeight="1" x14ac:dyDescent="0.25">
      <c r="B9" s="7" t="s">
        <v>59</v>
      </c>
      <c r="C9" s="8" t="s">
        <v>26</v>
      </c>
      <c r="D9" s="9">
        <v>13</v>
      </c>
      <c r="E9" s="10">
        <f>15022.1</f>
        <v>15022.1</v>
      </c>
      <c r="F9" s="12">
        <v>900</v>
      </c>
      <c r="G9" s="12">
        <v>900</v>
      </c>
      <c r="H9" s="12">
        <v>900</v>
      </c>
      <c r="I9" s="12">
        <v>3000</v>
      </c>
      <c r="J9" s="19">
        <v>3341.8</v>
      </c>
      <c r="K9" s="19">
        <v>733</v>
      </c>
      <c r="L9" s="12"/>
      <c r="M9" s="19"/>
      <c r="N9" s="20">
        <f t="shared" si="4"/>
        <v>2002.9466666666667</v>
      </c>
      <c r="O9" s="20">
        <f t="shared" si="5"/>
        <v>4005.8933333333334</v>
      </c>
      <c r="P9" s="14">
        <f t="shared" si="0"/>
        <v>30805.739999999998</v>
      </c>
      <c r="Q9" s="19"/>
      <c r="R9" s="19"/>
      <c r="S9" s="19"/>
      <c r="T9" s="11">
        <f t="shared" si="1"/>
        <v>1051.547</v>
      </c>
      <c r="U9" s="19">
        <v>3900.4815840000001</v>
      </c>
      <c r="V9" s="21"/>
      <c r="W9" s="22"/>
      <c r="X9" s="22"/>
      <c r="Y9" s="22"/>
      <c r="Z9" s="16">
        <f t="shared" si="2"/>
        <v>4952.0285839999997</v>
      </c>
      <c r="AA9" s="17">
        <f t="shared" si="3"/>
        <v>25853.711415999998</v>
      </c>
    </row>
    <row r="10" spans="2:27" ht="15" customHeight="1" x14ac:dyDescent="0.25">
      <c r="B10" s="7" t="s">
        <v>59</v>
      </c>
      <c r="C10" s="8" t="s">
        <v>27</v>
      </c>
      <c r="D10" s="9">
        <v>9</v>
      </c>
      <c r="E10" s="10">
        <f>11333.03</f>
        <v>11333.03</v>
      </c>
      <c r="F10" s="12">
        <v>900</v>
      </c>
      <c r="G10" s="12">
        <v>900</v>
      </c>
      <c r="H10" s="12">
        <v>900</v>
      </c>
      <c r="I10" s="12">
        <v>1050</v>
      </c>
      <c r="J10" s="19">
        <v>1803.2</v>
      </c>
      <c r="K10" s="19">
        <v>675</v>
      </c>
      <c r="L10" s="12"/>
      <c r="M10" s="19"/>
      <c r="N10" s="20">
        <f t="shared" si="4"/>
        <v>1511.0706666666667</v>
      </c>
      <c r="O10" s="20">
        <f t="shared" si="5"/>
        <v>3022.1413333333335</v>
      </c>
      <c r="P10" s="14">
        <f t="shared" si="0"/>
        <v>22094.441999999999</v>
      </c>
      <c r="Q10" s="19"/>
      <c r="R10" s="19"/>
      <c r="S10" s="19"/>
      <c r="T10" s="11">
        <f t="shared" si="1"/>
        <v>793.3121000000001</v>
      </c>
      <c r="U10" s="19">
        <v>2447.6955136000001</v>
      </c>
      <c r="V10" s="21"/>
      <c r="W10" s="22"/>
      <c r="X10" s="22"/>
      <c r="Y10" s="22"/>
      <c r="Z10" s="16">
        <f t="shared" si="2"/>
        <v>3241.0076136000002</v>
      </c>
      <c r="AA10" s="17">
        <f t="shared" si="3"/>
        <v>18853.4343864</v>
      </c>
    </row>
    <row r="11" spans="2:27" ht="15" customHeight="1" x14ac:dyDescent="0.25">
      <c r="B11" s="7" t="s">
        <v>60</v>
      </c>
      <c r="C11" s="8" t="s">
        <v>28</v>
      </c>
      <c r="D11" s="9">
        <v>10</v>
      </c>
      <c r="E11" s="10">
        <f>14753.0937824354*1.025</f>
        <v>15121.921126996283</v>
      </c>
      <c r="F11" s="12">
        <v>1100</v>
      </c>
      <c r="G11" s="12">
        <v>1133</v>
      </c>
      <c r="H11" s="12">
        <v>1140</v>
      </c>
      <c r="I11" s="12">
        <v>1150</v>
      </c>
      <c r="J11" s="19">
        <v>1934.8</v>
      </c>
      <c r="K11" s="19">
        <v>787</v>
      </c>
      <c r="L11" s="12"/>
      <c r="M11" s="19">
        <v>945</v>
      </c>
      <c r="N11" s="20">
        <f t="shared" si="4"/>
        <v>2016.2561502661711</v>
      </c>
      <c r="O11" s="20">
        <f t="shared" si="5"/>
        <v>4032.5123005323421</v>
      </c>
      <c r="P11" s="14">
        <f t="shared" si="0"/>
        <v>29360.489577794797</v>
      </c>
      <c r="Q11" s="19"/>
      <c r="R11" s="19"/>
      <c r="S11" s="19">
        <f t="shared" ref="S11:S22" si="6">(E11*0.07)</f>
        <v>1058.5344788897398</v>
      </c>
      <c r="T11" s="11">
        <f t="shared" si="1"/>
        <v>1058.5344788897398</v>
      </c>
      <c r="U11" s="19">
        <v>3663.1142988834308</v>
      </c>
      <c r="V11" s="21"/>
      <c r="W11" s="22"/>
      <c r="X11" s="22"/>
      <c r="Y11" s="22"/>
      <c r="Z11" s="16">
        <f t="shared" si="2"/>
        <v>5780.1832566629109</v>
      </c>
      <c r="AA11" s="17">
        <f t="shared" si="3"/>
        <v>23580.306321131888</v>
      </c>
    </row>
    <row r="12" spans="2:27" ht="15" customHeight="1" x14ac:dyDescent="0.25">
      <c r="B12" s="7" t="s">
        <v>60</v>
      </c>
      <c r="C12" s="8" t="s">
        <v>29</v>
      </c>
      <c r="D12" s="9">
        <v>8</v>
      </c>
      <c r="E12" s="10">
        <f>12779.3925*1.025</f>
        <v>13098.877312499999</v>
      </c>
      <c r="F12" s="12">
        <v>1100</v>
      </c>
      <c r="G12" s="12">
        <v>1133</v>
      </c>
      <c r="H12" s="12">
        <v>1140</v>
      </c>
      <c r="I12" s="12">
        <v>1000</v>
      </c>
      <c r="J12" s="11">
        <v>1677.2</v>
      </c>
      <c r="K12" s="11">
        <f>662+100</f>
        <v>762</v>
      </c>
      <c r="L12" s="12">
        <f>225</f>
        <v>225</v>
      </c>
      <c r="M12" s="12">
        <v>838</v>
      </c>
      <c r="N12" s="20">
        <f t="shared" si="4"/>
        <v>1746.5169749999998</v>
      </c>
      <c r="O12" s="20">
        <f t="shared" si="5"/>
        <v>3493.0339499999995</v>
      </c>
      <c r="P12" s="14">
        <f t="shared" si="0"/>
        <v>26213.628237500001</v>
      </c>
      <c r="Q12" s="19">
        <f t="shared" ref="Q12:Q21" si="7">(E12*0.01)</f>
        <v>130.98877312499999</v>
      </c>
      <c r="R12" s="19">
        <f>1000</f>
        <v>1000</v>
      </c>
      <c r="S12" s="19">
        <f t="shared" si="6"/>
        <v>916.92141187499999</v>
      </c>
      <c r="T12" s="11">
        <f t="shared" si="1"/>
        <v>916.92141187499999</v>
      </c>
      <c r="U12" s="19">
        <v>3081.5934526799992</v>
      </c>
      <c r="V12" s="21"/>
      <c r="W12" s="22"/>
      <c r="X12" s="22">
        <v>966.64</v>
      </c>
      <c r="Y12" s="22"/>
      <c r="Z12" s="16">
        <f t="shared" si="2"/>
        <v>7013.0650495549999</v>
      </c>
      <c r="AA12" s="17">
        <f t="shared" si="3"/>
        <v>19200.563187945001</v>
      </c>
    </row>
    <row r="13" spans="2:27" ht="22.5" x14ac:dyDescent="0.25">
      <c r="B13" s="7" t="s">
        <v>60</v>
      </c>
      <c r="C13" s="23" t="s">
        <v>30</v>
      </c>
      <c r="D13" s="24">
        <v>7</v>
      </c>
      <c r="E13" s="10">
        <f>11939.2455*1.025</f>
        <v>12237.7266375</v>
      </c>
      <c r="F13" s="12">
        <v>1100</v>
      </c>
      <c r="G13" s="12">
        <v>1133</v>
      </c>
      <c r="H13" s="12">
        <v>1140</v>
      </c>
      <c r="I13" s="12"/>
      <c r="J13" s="11">
        <v>1565.2</v>
      </c>
      <c r="K13" s="11">
        <f>651+100</f>
        <v>751</v>
      </c>
      <c r="L13" s="19">
        <v>325</v>
      </c>
      <c r="M13" s="19">
        <v>793</v>
      </c>
      <c r="N13" s="20">
        <f t="shared" si="4"/>
        <v>1631.6968850000001</v>
      </c>
      <c r="O13" s="20">
        <f t="shared" si="5"/>
        <v>3263.3937700000001</v>
      </c>
      <c r="P13" s="14">
        <f t="shared" si="0"/>
        <v>23940.017292500001</v>
      </c>
      <c r="Q13" s="19">
        <f t="shared" si="7"/>
        <v>122.377266375</v>
      </c>
      <c r="R13" s="19"/>
      <c r="S13" s="19">
        <f t="shared" si="6"/>
        <v>856.64086462500006</v>
      </c>
      <c r="T13" s="11">
        <f t="shared" si="1"/>
        <v>856.64086462500006</v>
      </c>
      <c r="U13" s="19">
        <v>2724.7054861680003</v>
      </c>
      <c r="V13" s="22"/>
      <c r="W13" s="21"/>
      <c r="X13" s="21"/>
      <c r="Y13" s="21"/>
      <c r="Z13" s="16">
        <f t="shared" si="2"/>
        <v>4560.3644817929999</v>
      </c>
      <c r="AA13" s="17">
        <f t="shared" si="3"/>
        <v>19379.652810707001</v>
      </c>
    </row>
    <row r="14" spans="2:27" x14ac:dyDescent="0.25">
      <c r="B14" s="7" t="s">
        <v>60</v>
      </c>
      <c r="C14" s="23" t="s">
        <v>31</v>
      </c>
      <c r="D14" s="24">
        <v>7</v>
      </c>
      <c r="E14" s="10">
        <f>11939.2455*1.025</f>
        <v>12237.7266375</v>
      </c>
      <c r="F14" s="12">
        <v>1100</v>
      </c>
      <c r="G14" s="12">
        <v>1133</v>
      </c>
      <c r="H14" s="12">
        <v>1140</v>
      </c>
      <c r="I14" s="12"/>
      <c r="J14" s="11">
        <v>1565.2</v>
      </c>
      <c r="K14" s="11">
        <f>651+100</f>
        <v>751</v>
      </c>
      <c r="L14" s="19"/>
      <c r="M14" s="19">
        <v>793</v>
      </c>
      <c r="N14" s="20">
        <f t="shared" si="4"/>
        <v>1631.6968850000001</v>
      </c>
      <c r="O14" s="20">
        <f t="shared" si="5"/>
        <v>3263.3937700000001</v>
      </c>
      <c r="P14" s="14">
        <f t="shared" si="0"/>
        <v>23615.017292500001</v>
      </c>
      <c r="Q14" s="19">
        <f t="shared" si="7"/>
        <v>122.377266375</v>
      </c>
      <c r="R14" s="19"/>
      <c r="S14" s="19">
        <f t="shared" si="6"/>
        <v>856.64086462500006</v>
      </c>
      <c r="T14" s="11">
        <f t="shared" si="1"/>
        <v>856.64086462500006</v>
      </c>
      <c r="U14" s="19">
        <v>2648.2654861679998</v>
      </c>
      <c r="V14" s="21"/>
      <c r="W14" s="21"/>
      <c r="X14" s="21"/>
      <c r="Y14" s="21"/>
      <c r="Z14" s="16">
        <f t="shared" si="2"/>
        <v>4483.9244817929994</v>
      </c>
      <c r="AA14" s="17">
        <f t="shared" si="3"/>
        <v>19131.092810706999</v>
      </c>
    </row>
    <row r="15" spans="2:27" x14ac:dyDescent="0.25">
      <c r="B15" s="7" t="s">
        <v>60</v>
      </c>
      <c r="C15" s="8" t="s">
        <v>32</v>
      </c>
      <c r="D15" s="9">
        <v>5</v>
      </c>
      <c r="E15" s="10">
        <f>10472.385*1.025</f>
        <v>10734.194625</v>
      </c>
      <c r="F15" s="12">
        <v>1100</v>
      </c>
      <c r="G15" s="12">
        <v>1133</v>
      </c>
      <c r="H15" s="12">
        <v>1140</v>
      </c>
      <c r="I15" s="12"/>
      <c r="J15" s="12">
        <v>1241.8</v>
      </c>
      <c r="K15" s="12">
        <f>632+100</f>
        <v>732</v>
      </c>
      <c r="L15" s="19">
        <f>525</f>
        <v>525</v>
      </c>
      <c r="M15" s="19">
        <v>713</v>
      </c>
      <c r="N15" s="20">
        <f t="shared" ref="N15:N22" si="8">(E15/15)*2</f>
        <v>1431.22595</v>
      </c>
      <c r="O15" s="20">
        <f t="shared" si="5"/>
        <v>2862.4519</v>
      </c>
      <c r="P15" s="14">
        <f t="shared" si="0"/>
        <v>21612.672474999999</v>
      </c>
      <c r="Q15" s="19">
        <f t="shared" si="7"/>
        <v>107.34194625000001</v>
      </c>
      <c r="R15" s="19"/>
      <c r="S15" s="19">
        <f t="shared" si="6"/>
        <v>751.39362375000007</v>
      </c>
      <c r="T15" s="11">
        <f t="shared" si="1"/>
        <v>751.39362375000007</v>
      </c>
      <c r="U15" s="19">
        <v>2316.4805102800001</v>
      </c>
      <c r="V15" s="21">
        <f>2583</f>
        <v>2583</v>
      </c>
      <c r="W15" s="22"/>
      <c r="X15" s="22"/>
      <c r="Y15" s="22"/>
      <c r="Z15" s="16">
        <f t="shared" si="2"/>
        <v>6509.6097040300001</v>
      </c>
      <c r="AA15" s="17">
        <f t="shared" si="3"/>
        <v>15103.062770969998</v>
      </c>
    </row>
    <row r="16" spans="2:27" x14ac:dyDescent="0.25">
      <c r="B16" s="7" t="s">
        <v>60</v>
      </c>
      <c r="C16" s="8" t="s">
        <v>33</v>
      </c>
      <c r="D16" s="9">
        <v>5</v>
      </c>
      <c r="E16" s="10">
        <f>10472.385*1.025</f>
        <v>10734.194625</v>
      </c>
      <c r="F16" s="12">
        <v>1100</v>
      </c>
      <c r="G16" s="12">
        <v>1133</v>
      </c>
      <c r="H16" s="12">
        <v>1140</v>
      </c>
      <c r="I16" s="12"/>
      <c r="J16" s="12">
        <v>1241.8</v>
      </c>
      <c r="K16" s="12">
        <f>632+100</f>
        <v>732</v>
      </c>
      <c r="L16" s="12"/>
      <c r="M16" s="19">
        <v>713</v>
      </c>
      <c r="N16" s="20">
        <f t="shared" si="8"/>
        <v>1431.22595</v>
      </c>
      <c r="O16" s="20">
        <f t="shared" si="5"/>
        <v>2862.4519</v>
      </c>
      <c r="P16" s="14">
        <f t="shared" si="0"/>
        <v>21087.672474999999</v>
      </c>
      <c r="Q16" s="19">
        <f t="shared" si="7"/>
        <v>107.34194625000001</v>
      </c>
      <c r="R16" s="19">
        <f>500</f>
        <v>500</v>
      </c>
      <c r="S16" s="19">
        <f t="shared" si="6"/>
        <v>751.39362375000007</v>
      </c>
      <c r="T16" s="11">
        <f t="shared" si="1"/>
        <v>751.39362375000007</v>
      </c>
      <c r="U16" s="19">
        <v>2204.3405102800002</v>
      </c>
      <c r="V16" s="21"/>
      <c r="W16" s="22"/>
      <c r="X16" s="22"/>
      <c r="Y16" s="22"/>
      <c r="Z16" s="16">
        <f t="shared" si="2"/>
        <v>4314.4697040299998</v>
      </c>
      <c r="AA16" s="17">
        <f t="shared" si="3"/>
        <v>16773.202770969998</v>
      </c>
    </row>
    <row r="17" spans="2:28" x14ac:dyDescent="0.25">
      <c r="B17" s="7" t="s">
        <v>60</v>
      </c>
      <c r="C17" s="8" t="s">
        <v>34</v>
      </c>
      <c r="D17" s="9">
        <v>4</v>
      </c>
      <c r="E17" s="10">
        <f>9192.729*1.025</f>
        <v>9422.5472249999984</v>
      </c>
      <c r="F17" s="12">
        <v>1100</v>
      </c>
      <c r="G17" s="12">
        <v>1133</v>
      </c>
      <c r="H17" s="12">
        <v>1140</v>
      </c>
      <c r="I17" s="12"/>
      <c r="J17" s="12">
        <v>845.6</v>
      </c>
      <c r="K17" s="12">
        <f>615+100</f>
        <v>715</v>
      </c>
      <c r="L17" s="12"/>
      <c r="M17" s="19">
        <v>644</v>
      </c>
      <c r="N17" s="20">
        <f t="shared" si="8"/>
        <v>1256.3396299999997</v>
      </c>
      <c r="O17" s="20">
        <f t="shared" si="5"/>
        <v>2512.6792599999994</v>
      </c>
      <c r="P17" s="14">
        <f t="shared" si="0"/>
        <v>18769.166115</v>
      </c>
      <c r="Q17" s="19">
        <f t="shared" si="7"/>
        <v>94.225472249999981</v>
      </c>
      <c r="R17" s="19"/>
      <c r="S17" s="19">
        <f t="shared" si="6"/>
        <v>659.57830574999991</v>
      </c>
      <c r="T17" s="11">
        <f t="shared" si="1"/>
        <v>659.57830574999991</v>
      </c>
      <c r="U17" s="19">
        <v>1816.6400887119996</v>
      </c>
      <c r="V17" s="21"/>
      <c r="W17" s="22"/>
      <c r="X17" s="22"/>
      <c r="Y17" s="22"/>
      <c r="Z17" s="16">
        <f t="shared" si="2"/>
        <v>3230.0221724619996</v>
      </c>
      <c r="AA17" s="17">
        <f t="shared" si="3"/>
        <v>15539.143942538001</v>
      </c>
    </row>
    <row r="18" spans="2:28" x14ac:dyDescent="0.25">
      <c r="B18" s="7" t="s">
        <v>60</v>
      </c>
      <c r="C18" s="8" t="s">
        <v>35</v>
      </c>
      <c r="D18" s="9">
        <v>4</v>
      </c>
      <c r="E18" s="10">
        <f>9192.729*1.025</f>
        <v>9422.5472249999984</v>
      </c>
      <c r="F18" s="12">
        <v>1100</v>
      </c>
      <c r="G18" s="12">
        <v>1133</v>
      </c>
      <c r="H18" s="12">
        <v>1140</v>
      </c>
      <c r="I18" s="12"/>
      <c r="J18" s="12">
        <v>845.6</v>
      </c>
      <c r="K18" s="12">
        <f>615+100</f>
        <v>715</v>
      </c>
      <c r="L18" s="12"/>
      <c r="M18" s="19">
        <v>644</v>
      </c>
      <c r="N18" s="20">
        <f t="shared" si="8"/>
        <v>1256.3396299999997</v>
      </c>
      <c r="O18" s="20">
        <f t="shared" si="5"/>
        <v>2512.6792599999994</v>
      </c>
      <c r="P18" s="14">
        <f t="shared" si="0"/>
        <v>18769.166115</v>
      </c>
      <c r="Q18" s="19">
        <f t="shared" si="7"/>
        <v>94.225472249999981</v>
      </c>
      <c r="R18" s="19">
        <f>500</f>
        <v>500</v>
      </c>
      <c r="S18" s="19">
        <f t="shared" si="6"/>
        <v>659.57830574999991</v>
      </c>
      <c r="T18" s="11">
        <f t="shared" si="1"/>
        <v>659.57830574999991</v>
      </c>
      <c r="U18" s="19">
        <v>1816.6400887119996</v>
      </c>
      <c r="V18" s="21"/>
      <c r="W18" s="22"/>
      <c r="X18" s="22"/>
      <c r="Y18" s="22"/>
      <c r="Z18" s="16">
        <f t="shared" si="2"/>
        <v>3730.0221724619996</v>
      </c>
      <c r="AA18" s="17">
        <f t="shared" si="3"/>
        <v>15039.143942538001</v>
      </c>
    </row>
    <row r="19" spans="2:28" x14ac:dyDescent="0.25">
      <c r="B19" s="7" t="s">
        <v>60</v>
      </c>
      <c r="C19" s="8" t="s">
        <v>36</v>
      </c>
      <c r="D19" s="9">
        <v>2</v>
      </c>
      <c r="E19" s="10">
        <f>7675.6365*1.025</f>
        <v>7867.5274124999987</v>
      </c>
      <c r="F19" s="12">
        <v>1100</v>
      </c>
      <c r="G19" s="12">
        <v>1133</v>
      </c>
      <c r="H19" s="12">
        <v>1140</v>
      </c>
      <c r="I19" s="12"/>
      <c r="J19" s="12">
        <v>704.2</v>
      </c>
      <c r="K19" s="12">
        <f>595+100</f>
        <v>695</v>
      </c>
      <c r="L19" s="12"/>
      <c r="M19" s="19">
        <v>561</v>
      </c>
      <c r="N19" s="20">
        <f t="shared" si="8"/>
        <v>1049.0036549999998</v>
      </c>
      <c r="O19" s="20">
        <f t="shared" si="5"/>
        <v>2098.0073099999995</v>
      </c>
      <c r="P19" s="14">
        <f t="shared" si="0"/>
        <v>16347.7383775</v>
      </c>
      <c r="Q19" s="19">
        <f t="shared" si="7"/>
        <v>78.675274124999987</v>
      </c>
      <c r="R19" s="19">
        <f>1000</f>
        <v>1000</v>
      </c>
      <c r="S19" s="19">
        <f t="shared" si="6"/>
        <v>550.72691887499991</v>
      </c>
      <c r="T19" s="11">
        <f t="shared" si="1"/>
        <v>550.72691887499991</v>
      </c>
      <c r="U19" s="19">
        <v>1391.955490372</v>
      </c>
      <c r="V19" s="21"/>
      <c r="W19" s="22"/>
      <c r="X19" s="22"/>
      <c r="Y19" s="22"/>
      <c r="Z19" s="16">
        <f t="shared" si="2"/>
        <v>3572.0846022469996</v>
      </c>
      <c r="AA19" s="17">
        <f t="shared" si="3"/>
        <v>12775.653775253</v>
      </c>
    </row>
    <row r="20" spans="2:28" x14ac:dyDescent="0.25">
      <c r="B20" s="7" t="s">
        <v>60</v>
      </c>
      <c r="C20" s="8" t="s">
        <v>37</v>
      </c>
      <c r="D20" s="9">
        <v>2</v>
      </c>
      <c r="E20" s="10">
        <f>7675.6365*1.025</f>
        <v>7867.5274124999987</v>
      </c>
      <c r="F20" s="12">
        <v>1100</v>
      </c>
      <c r="G20" s="12">
        <v>1133</v>
      </c>
      <c r="H20" s="12">
        <v>1140</v>
      </c>
      <c r="I20" s="12"/>
      <c r="J20" s="12">
        <v>704.2</v>
      </c>
      <c r="K20" s="12">
        <f>595+100</f>
        <v>695</v>
      </c>
      <c r="L20" s="12"/>
      <c r="M20" s="19">
        <v>561</v>
      </c>
      <c r="N20" s="20">
        <f t="shared" si="8"/>
        <v>1049.0036549999998</v>
      </c>
      <c r="O20" s="20">
        <f t="shared" si="5"/>
        <v>2098.0073099999995</v>
      </c>
      <c r="P20" s="14">
        <f t="shared" si="0"/>
        <v>16347.7383775</v>
      </c>
      <c r="Q20" s="19">
        <f t="shared" si="7"/>
        <v>78.675274124999987</v>
      </c>
      <c r="R20" s="19">
        <f>500</f>
        <v>500</v>
      </c>
      <c r="S20" s="19">
        <f t="shared" si="6"/>
        <v>550.72691887499991</v>
      </c>
      <c r="T20" s="11">
        <f t="shared" si="1"/>
        <v>550.72691887499991</v>
      </c>
      <c r="U20" s="19">
        <v>1391.955490372</v>
      </c>
      <c r="V20" s="21"/>
      <c r="W20" s="22"/>
      <c r="X20" s="22">
        <v>966.64</v>
      </c>
      <c r="Y20" s="22">
        <v>1325</v>
      </c>
      <c r="Z20" s="16">
        <f t="shared" si="2"/>
        <v>5363.724602246999</v>
      </c>
      <c r="AA20" s="17">
        <f t="shared" si="3"/>
        <v>10984.013775253001</v>
      </c>
    </row>
    <row r="21" spans="2:28" ht="22.5" x14ac:dyDescent="0.25">
      <c r="B21" s="7" t="s">
        <v>60</v>
      </c>
      <c r="C21" s="8" t="s">
        <v>38</v>
      </c>
      <c r="D21" s="9"/>
      <c r="E21" s="10">
        <f>7204.1865*1.025</f>
        <v>7384.2911624999988</v>
      </c>
      <c r="F21" s="12">
        <v>1100</v>
      </c>
      <c r="G21" s="12">
        <v>1133</v>
      </c>
      <c r="H21" s="12">
        <v>1140</v>
      </c>
      <c r="I21" s="12"/>
      <c r="J21" s="12">
        <v>658</v>
      </c>
      <c r="K21" s="12">
        <f>589+100</f>
        <v>689</v>
      </c>
      <c r="L21" s="12"/>
      <c r="M21" s="19">
        <v>536</v>
      </c>
      <c r="N21" s="20"/>
      <c r="O21" s="20">
        <f t="shared" si="5"/>
        <v>1969.1443099999997</v>
      </c>
      <c r="P21" s="14">
        <f t="shared" si="0"/>
        <v>14609.435472499998</v>
      </c>
      <c r="Q21" s="19">
        <f t="shared" si="7"/>
        <v>73.842911624999985</v>
      </c>
      <c r="R21" s="19">
        <f>500</f>
        <v>500</v>
      </c>
      <c r="S21" s="19">
        <f t="shared" si="6"/>
        <v>516.90038137499994</v>
      </c>
      <c r="T21" s="11">
        <f t="shared" si="1"/>
        <v>516.90038137499994</v>
      </c>
      <c r="U21" s="19">
        <v>1154.6951086179997</v>
      </c>
      <c r="V21" s="21"/>
      <c r="W21" s="22"/>
      <c r="X21" s="22"/>
      <c r="Y21" s="22"/>
      <c r="Z21" s="16">
        <f t="shared" si="2"/>
        <v>2762.3387829929998</v>
      </c>
      <c r="AA21" s="17">
        <f t="shared" si="3"/>
        <v>11847.096689506998</v>
      </c>
    </row>
    <row r="22" spans="2:28" ht="22.5" x14ac:dyDescent="0.25">
      <c r="B22" s="7" t="s">
        <v>60</v>
      </c>
      <c r="C22" s="8" t="s">
        <v>39</v>
      </c>
      <c r="D22" s="9">
        <v>1</v>
      </c>
      <c r="E22" s="10">
        <f>7204.1865*1.025</f>
        <v>7384.2911624999988</v>
      </c>
      <c r="F22" s="12">
        <v>1100</v>
      </c>
      <c r="G22" s="12">
        <v>1133</v>
      </c>
      <c r="H22" s="12">
        <v>1140</v>
      </c>
      <c r="I22" s="12"/>
      <c r="J22" s="12">
        <v>658</v>
      </c>
      <c r="K22" s="12">
        <f>589+100</f>
        <v>689</v>
      </c>
      <c r="L22" s="12"/>
      <c r="M22" s="19">
        <v>536</v>
      </c>
      <c r="N22" s="20">
        <f t="shared" si="8"/>
        <v>984.57215499999984</v>
      </c>
      <c r="O22" s="20">
        <f t="shared" si="5"/>
        <v>1969.1443099999997</v>
      </c>
      <c r="P22" s="14">
        <f t="shared" si="0"/>
        <v>15594.007627499997</v>
      </c>
      <c r="Q22" s="19"/>
      <c r="R22" s="19"/>
      <c r="S22" s="19">
        <f t="shared" si="6"/>
        <v>516.90038137499994</v>
      </c>
      <c r="T22" s="11">
        <f t="shared" si="1"/>
        <v>516.90038137499994</v>
      </c>
      <c r="U22" s="19">
        <v>1259.8474147719999</v>
      </c>
      <c r="V22" s="21"/>
      <c r="W22" s="22">
        <v>1702.93</v>
      </c>
      <c r="X22" s="22"/>
      <c r="Y22" s="22"/>
      <c r="Z22" s="16">
        <f t="shared" si="2"/>
        <v>3996.5781775220003</v>
      </c>
      <c r="AA22" s="17">
        <f t="shared" si="3"/>
        <v>11597.429449977997</v>
      </c>
    </row>
    <row r="23" spans="2:28" ht="22.5" x14ac:dyDescent="0.25">
      <c r="B23" s="7" t="s">
        <v>61</v>
      </c>
      <c r="C23" s="8" t="s">
        <v>40</v>
      </c>
      <c r="D23" s="9"/>
      <c r="E23" s="10">
        <f>6069.96</f>
        <v>6069.96</v>
      </c>
      <c r="F23" s="25"/>
      <c r="G23" s="25"/>
      <c r="H23" s="25"/>
      <c r="I23" s="25"/>
      <c r="J23" s="26"/>
      <c r="K23" s="26"/>
      <c r="L23" s="25"/>
      <c r="M23" s="26"/>
      <c r="N23" s="27"/>
      <c r="O23" s="27"/>
      <c r="P23" s="14">
        <f t="shared" si="0"/>
        <v>6069.96</v>
      </c>
      <c r="Q23" s="19"/>
      <c r="R23" s="26"/>
      <c r="S23" s="26"/>
      <c r="T23" s="11"/>
      <c r="U23" s="19">
        <v>527.76699999999994</v>
      </c>
      <c r="V23" s="21"/>
      <c r="W23" s="22"/>
      <c r="X23" s="22"/>
      <c r="Y23" s="22"/>
      <c r="Z23" s="16">
        <f t="shared" si="2"/>
        <v>527.76699999999994</v>
      </c>
      <c r="AA23" s="17">
        <f t="shared" si="3"/>
        <v>5542.1930000000002</v>
      </c>
    </row>
    <row r="24" spans="2:28" x14ac:dyDescent="0.25">
      <c r="B24" s="7" t="s">
        <v>61</v>
      </c>
      <c r="C24" s="23" t="s">
        <v>41</v>
      </c>
      <c r="D24" s="29"/>
      <c r="E24" s="30">
        <f>3018.5</f>
        <v>3018.5</v>
      </c>
      <c r="F24" s="25"/>
      <c r="G24" s="25"/>
      <c r="H24" s="25"/>
      <c r="I24" s="25"/>
      <c r="J24" s="26"/>
      <c r="K24" s="26"/>
      <c r="L24" s="25"/>
      <c r="M24" s="26"/>
      <c r="N24" s="26"/>
      <c r="O24" s="27"/>
      <c r="P24" s="14">
        <f>SUM(E24:N24)</f>
        <v>3018.5</v>
      </c>
      <c r="Q24" s="19"/>
      <c r="R24" s="26"/>
      <c r="S24" s="26"/>
      <c r="T24" s="11"/>
      <c r="U24" s="19">
        <v>176.47039999999998</v>
      </c>
      <c r="V24" s="21"/>
      <c r="W24" s="22"/>
      <c r="X24" s="22"/>
      <c r="Y24" s="22"/>
      <c r="Z24" s="16">
        <f t="shared" si="2"/>
        <v>176.47039999999998</v>
      </c>
      <c r="AA24" s="17">
        <f t="shared" si="3"/>
        <v>2842.0295999999998</v>
      </c>
    </row>
    <row r="25" spans="2:28" ht="15.75" thickBot="1" x14ac:dyDescent="0.3">
      <c r="B25" s="31" t="s">
        <v>42</v>
      </c>
      <c r="C25" s="32"/>
      <c r="D25" s="33"/>
      <c r="E25" s="34">
        <f t="shared" ref="E25:AA25" si="9">SUM(E4:E24)</f>
        <v>238122.87256449627</v>
      </c>
      <c r="F25" s="34">
        <f t="shared" si="9"/>
        <v>17400</v>
      </c>
      <c r="G25" s="34">
        <f t="shared" si="9"/>
        <v>17196</v>
      </c>
      <c r="H25" s="34">
        <f t="shared" si="9"/>
        <v>17280</v>
      </c>
      <c r="I25" s="34">
        <f t="shared" si="9"/>
        <v>12200</v>
      </c>
      <c r="J25" s="34">
        <f t="shared" si="9"/>
        <v>25470.2</v>
      </c>
      <c r="K25" s="34">
        <f t="shared" si="9"/>
        <v>11587</v>
      </c>
      <c r="L25" s="34">
        <f t="shared" si="9"/>
        <v>1075</v>
      </c>
      <c r="M25" s="34">
        <f t="shared" si="9"/>
        <v>8277</v>
      </c>
      <c r="N25" s="34">
        <f t="shared" si="9"/>
        <v>23003.788186932834</v>
      </c>
      <c r="O25" s="34">
        <f t="shared" si="9"/>
        <v>47976.720683865671</v>
      </c>
      <c r="P25" s="34">
        <f t="shared" si="9"/>
        <v>419588.58143529482</v>
      </c>
      <c r="Q25" s="34">
        <f t="shared" si="9"/>
        <v>1010.0716027499998</v>
      </c>
      <c r="R25" s="34">
        <f t="shared" si="9"/>
        <v>4000</v>
      </c>
      <c r="S25" s="34">
        <f t="shared" si="9"/>
        <v>8645.9360795147404</v>
      </c>
      <c r="T25" s="34">
        <f t="shared" si="9"/>
        <v>16032.408879514742</v>
      </c>
      <c r="U25" s="34">
        <f t="shared" si="9"/>
        <v>48459.491459617413</v>
      </c>
      <c r="V25" s="34">
        <f t="shared" si="9"/>
        <v>2583</v>
      </c>
      <c r="W25" s="34">
        <f t="shared" si="9"/>
        <v>1702.93</v>
      </c>
      <c r="X25" s="34">
        <f t="shared" si="9"/>
        <v>1933.28</v>
      </c>
      <c r="Y25" s="34">
        <f t="shared" si="9"/>
        <v>1325</v>
      </c>
      <c r="Z25" s="34">
        <f t="shared" si="9"/>
        <v>85692.118021396949</v>
      </c>
      <c r="AA25" s="34">
        <f t="shared" si="9"/>
        <v>333896.4634138979</v>
      </c>
      <c r="AB25" s="18"/>
    </row>
    <row r="29" spans="2:28" x14ac:dyDescent="0.25">
      <c r="B29" t="s">
        <v>58</v>
      </c>
      <c r="C29" t="s">
        <v>54</v>
      </c>
    </row>
    <row r="30" spans="2:28" x14ac:dyDescent="0.25">
      <c r="B30" t="s">
        <v>59</v>
      </c>
      <c r="C30" t="s">
        <v>55</v>
      </c>
    </row>
    <row r="31" spans="2:28" x14ac:dyDescent="0.25">
      <c r="B31" t="s">
        <v>60</v>
      </c>
      <c r="C31" t="s">
        <v>62</v>
      </c>
    </row>
    <row r="32" spans="2:28" x14ac:dyDescent="0.25">
      <c r="B32" t="s">
        <v>61</v>
      </c>
      <c r="C3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3"/>
  <sheetViews>
    <sheetView workbookViewId="0">
      <selection activeCell="Y40" sqref="Y40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4" width="8.7109375" customWidth="1"/>
    <col min="15" max="15" width="12.5703125" bestFit="1" customWidth="1"/>
    <col min="16" max="16" width="7.42578125" customWidth="1"/>
    <col min="17" max="18" width="8.7109375" bestFit="1" customWidth="1"/>
    <col min="19" max="19" width="9" customWidth="1"/>
    <col min="20" max="20" width="9.5703125" customWidth="1"/>
    <col min="21" max="21" width="7.85546875" customWidth="1"/>
    <col min="22" max="23" width="10.140625" customWidth="1"/>
    <col min="24" max="24" width="9.5703125" customWidth="1"/>
    <col min="25" max="25" width="12.5703125" bestFit="1" customWidth="1"/>
    <col min="26" max="26" width="14.140625" bestFit="1" customWidth="1"/>
  </cols>
  <sheetData>
    <row r="1" spans="2:25" ht="18.75" x14ac:dyDescent="0.25">
      <c r="E1" s="2" t="s">
        <v>87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25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</row>
    <row r="3" spans="2:25" ht="48.75" customHeight="1" x14ac:dyDescent="0.25">
      <c r="B3" s="40"/>
      <c r="C3" s="40"/>
      <c r="D3" s="3" t="s">
        <v>1</v>
      </c>
      <c r="E3" s="44" t="s">
        <v>2</v>
      </c>
      <c r="F3" s="45" t="s">
        <v>43</v>
      </c>
      <c r="G3" s="45" t="s">
        <v>44</v>
      </c>
      <c r="H3" s="45" t="s">
        <v>45</v>
      </c>
      <c r="I3" s="45" t="s">
        <v>46</v>
      </c>
      <c r="J3" s="45" t="s">
        <v>47</v>
      </c>
      <c r="K3" s="45" t="s">
        <v>48</v>
      </c>
      <c r="L3" s="45" t="s">
        <v>9</v>
      </c>
      <c r="M3" s="45" t="s">
        <v>49</v>
      </c>
      <c r="N3" s="46" t="s">
        <v>12</v>
      </c>
      <c r="O3" s="41"/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5" t="s">
        <v>18</v>
      </c>
      <c r="V3" s="42" t="s">
        <v>0</v>
      </c>
      <c r="W3" s="42" t="s">
        <v>52</v>
      </c>
      <c r="X3" s="42"/>
      <c r="Y3" s="43"/>
    </row>
    <row r="4" spans="2:25" x14ac:dyDescent="0.25">
      <c r="B4" s="7" t="s">
        <v>58</v>
      </c>
      <c r="C4" s="8" t="s">
        <v>21</v>
      </c>
      <c r="D4" s="9">
        <v>17</v>
      </c>
      <c r="E4" s="10">
        <f>38573.38/2</f>
        <v>19286.689999999999</v>
      </c>
      <c r="F4" s="12"/>
      <c r="G4" s="11">
        <v>300</v>
      </c>
      <c r="H4" s="12"/>
      <c r="I4" s="11"/>
      <c r="J4" s="11"/>
      <c r="K4" s="11"/>
      <c r="L4" s="11"/>
      <c r="M4" s="11"/>
      <c r="N4" s="13">
        <f t="shared" ref="N4:N22" si="0">(E4/15)*3</f>
        <v>3857.3379999999997</v>
      </c>
      <c r="O4" s="14">
        <f t="shared" ref="O4:O24" si="1">SUM(E4:N4)</f>
        <v>23444.027999999998</v>
      </c>
      <c r="P4" s="11"/>
      <c r="Q4" s="11"/>
      <c r="R4" s="11"/>
      <c r="S4" s="11">
        <f>(E4*0.07)</f>
        <v>1350.0683000000001</v>
      </c>
      <c r="T4" s="11">
        <v>3853.7800367999989</v>
      </c>
      <c r="U4" s="15"/>
      <c r="V4" s="16"/>
      <c r="W4" s="16"/>
      <c r="X4" s="16">
        <f t="shared" ref="X4:X24" si="2">SUM(P4:W4)</f>
        <v>5203.8483367999988</v>
      </c>
      <c r="Y4" s="17">
        <f t="shared" ref="Y4:Y24" si="3">+O4-X4</f>
        <v>18240.179663200001</v>
      </c>
    </row>
    <row r="5" spans="2:25" x14ac:dyDescent="0.25">
      <c r="B5" s="7" t="s">
        <v>58</v>
      </c>
      <c r="C5" s="8" t="s">
        <v>22</v>
      </c>
      <c r="D5" s="9">
        <v>14</v>
      </c>
      <c r="E5" s="10">
        <f>14917.51</f>
        <v>14917.51</v>
      </c>
      <c r="F5" s="12"/>
      <c r="G5" s="19">
        <v>300</v>
      </c>
      <c r="H5" s="12"/>
      <c r="I5" s="19"/>
      <c r="J5" s="19"/>
      <c r="K5" s="19"/>
      <c r="L5" s="19"/>
      <c r="M5" s="19"/>
      <c r="N5" s="13">
        <f t="shared" si="0"/>
        <v>2983.502</v>
      </c>
      <c r="O5" s="14">
        <f t="shared" si="1"/>
        <v>18201.011999999999</v>
      </c>
      <c r="P5" s="19"/>
      <c r="Q5" s="19"/>
      <c r="R5" s="19"/>
      <c r="S5" s="11">
        <f>(E5*0.07)</f>
        <v>1044.2257000000002</v>
      </c>
      <c r="T5" s="19">
        <v>2723.3857871999994</v>
      </c>
      <c r="U5" s="21"/>
      <c r="V5" s="22"/>
      <c r="W5" s="22"/>
      <c r="X5" s="16">
        <f t="shared" si="2"/>
        <v>3767.6114871999998</v>
      </c>
      <c r="Y5" s="17">
        <f t="shared" si="3"/>
        <v>14433.400512799999</v>
      </c>
    </row>
    <row r="6" spans="2:25" x14ac:dyDescent="0.25">
      <c r="B6" s="7" t="s">
        <v>58</v>
      </c>
      <c r="C6" s="8" t="s">
        <v>23</v>
      </c>
      <c r="D6" s="9">
        <v>14</v>
      </c>
      <c r="E6" s="10">
        <f>14917.51</f>
        <v>14917.51</v>
      </c>
      <c r="F6" s="12"/>
      <c r="G6" s="19">
        <v>300</v>
      </c>
      <c r="H6" s="12"/>
      <c r="I6" s="19"/>
      <c r="J6" s="19"/>
      <c r="K6" s="19"/>
      <c r="L6" s="19"/>
      <c r="M6" s="19"/>
      <c r="N6" s="13">
        <f t="shared" si="0"/>
        <v>2983.502</v>
      </c>
      <c r="O6" s="14">
        <f t="shared" si="1"/>
        <v>18201.011999999999</v>
      </c>
      <c r="P6" s="19"/>
      <c r="Q6" s="19"/>
      <c r="R6" s="19"/>
      <c r="S6" s="11">
        <f>(E6*0.07)</f>
        <v>1044.2257000000002</v>
      </c>
      <c r="T6" s="19">
        <v>2723.3857871999994</v>
      </c>
      <c r="U6" s="21"/>
      <c r="V6" s="22"/>
      <c r="W6" s="22"/>
      <c r="X6" s="16">
        <f t="shared" si="2"/>
        <v>3767.6114871999998</v>
      </c>
      <c r="Y6" s="17">
        <f t="shared" si="3"/>
        <v>14433.400512799999</v>
      </c>
    </row>
    <row r="7" spans="2:25" x14ac:dyDescent="0.25">
      <c r="B7" s="7" t="s">
        <v>59</v>
      </c>
      <c r="C7" s="8" t="s">
        <v>24</v>
      </c>
      <c r="D7" s="9">
        <v>13</v>
      </c>
      <c r="E7" s="10">
        <f>15022.1</f>
        <v>15022.1</v>
      </c>
      <c r="F7" s="37">
        <v>900</v>
      </c>
      <c r="G7" s="37">
        <v>900</v>
      </c>
      <c r="H7" s="37">
        <v>900</v>
      </c>
      <c r="I7" s="12">
        <v>1000</v>
      </c>
      <c r="J7" s="19"/>
      <c r="K7" s="19">
        <v>750</v>
      </c>
      <c r="L7" s="12"/>
      <c r="M7" s="19"/>
      <c r="N7" s="13">
        <f t="shared" si="0"/>
        <v>3004.42</v>
      </c>
      <c r="O7" s="14">
        <f t="shared" si="1"/>
        <v>22476.519999999997</v>
      </c>
      <c r="P7" s="19"/>
      <c r="Q7" s="19"/>
      <c r="R7" s="19"/>
      <c r="S7" s="11">
        <f t="shared" ref="S7:S22" si="4">(E7*0.07)</f>
        <v>1051.547</v>
      </c>
      <c r="T7" s="19">
        <v>3132.6453119999996</v>
      </c>
      <c r="U7" s="21"/>
      <c r="V7" s="22"/>
      <c r="W7" s="22"/>
      <c r="X7" s="16">
        <f t="shared" si="2"/>
        <v>4184.1923119999992</v>
      </c>
      <c r="Y7" s="17">
        <f t="shared" si="3"/>
        <v>18292.327687999998</v>
      </c>
    </row>
    <row r="8" spans="2:25" ht="15" customHeight="1" x14ac:dyDescent="0.25">
      <c r="B8" s="7" t="s">
        <v>59</v>
      </c>
      <c r="C8" s="8" t="s">
        <v>25</v>
      </c>
      <c r="D8" s="9">
        <v>13</v>
      </c>
      <c r="E8" s="10">
        <f>15022.1</f>
        <v>15022.1</v>
      </c>
      <c r="F8" s="37">
        <v>900</v>
      </c>
      <c r="G8" s="37">
        <v>900</v>
      </c>
      <c r="H8" s="37">
        <v>900</v>
      </c>
      <c r="I8" s="12">
        <v>1000</v>
      </c>
      <c r="J8" s="19"/>
      <c r="K8" s="19">
        <v>750</v>
      </c>
      <c r="L8" s="12"/>
      <c r="M8" s="19"/>
      <c r="N8" s="13">
        <f t="shared" si="0"/>
        <v>3004.42</v>
      </c>
      <c r="O8" s="14">
        <f t="shared" si="1"/>
        <v>22476.519999999997</v>
      </c>
      <c r="P8" s="19"/>
      <c r="Q8" s="19"/>
      <c r="R8" s="19"/>
      <c r="S8" s="11">
        <f t="shared" si="4"/>
        <v>1051.547</v>
      </c>
      <c r="T8" s="19">
        <v>3132.6453119999996</v>
      </c>
      <c r="U8" s="21"/>
      <c r="V8" s="22"/>
      <c r="W8" s="22"/>
      <c r="X8" s="16">
        <f t="shared" si="2"/>
        <v>4184.1923119999992</v>
      </c>
      <c r="Y8" s="17">
        <f t="shared" si="3"/>
        <v>18292.327687999998</v>
      </c>
    </row>
    <row r="9" spans="2:25" ht="15" customHeight="1" x14ac:dyDescent="0.25">
      <c r="B9" s="7" t="s">
        <v>59</v>
      </c>
      <c r="C9" s="8" t="s">
        <v>26</v>
      </c>
      <c r="D9" s="9">
        <v>13</v>
      </c>
      <c r="E9" s="10">
        <f>15022.1</f>
        <v>15022.1</v>
      </c>
      <c r="F9" s="37">
        <v>900</v>
      </c>
      <c r="G9" s="37">
        <v>900</v>
      </c>
      <c r="H9" s="37">
        <v>900</v>
      </c>
      <c r="I9" s="12">
        <v>1000</v>
      </c>
      <c r="J9" s="19"/>
      <c r="K9" s="19">
        <v>750</v>
      </c>
      <c r="L9" s="12"/>
      <c r="M9" s="19"/>
      <c r="N9" s="13">
        <f t="shared" si="0"/>
        <v>3004.42</v>
      </c>
      <c r="O9" s="14">
        <f t="shared" si="1"/>
        <v>22476.519999999997</v>
      </c>
      <c r="P9" s="19"/>
      <c r="Q9" s="19"/>
      <c r="R9" s="19"/>
      <c r="S9" s="11">
        <f t="shared" si="4"/>
        <v>1051.547</v>
      </c>
      <c r="T9" s="19">
        <v>3132.6453119999996</v>
      </c>
      <c r="U9" s="21"/>
      <c r="V9" s="22"/>
      <c r="W9" s="22"/>
      <c r="X9" s="16">
        <f t="shared" si="2"/>
        <v>4184.1923119999992</v>
      </c>
      <c r="Y9" s="17">
        <f t="shared" si="3"/>
        <v>18292.327687999998</v>
      </c>
    </row>
    <row r="10" spans="2:25" ht="15" customHeight="1" x14ac:dyDescent="0.25">
      <c r="B10" s="7" t="s">
        <v>59</v>
      </c>
      <c r="C10" s="8" t="s">
        <v>27</v>
      </c>
      <c r="D10" s="9">
        <v>9</v>
      </c>
      <c r="E10" s="10">
        <f>11333.03</f>
        <v>11333.03</v>
      </c>
      <c r="F10" s="37">
        <v>900</v>
      </c>
      <c r="G10" s="37">
        <v>900</v>
      </c>
      <c r="H10" s="37">
        <v>900</v>
      </c>
      <c r="I10" s="12">
        <v>1000</v>
      </c>
      <c r="J10" s="19"/>
      <c r="K10" s="19">
        <v>566</v>
      </c>
      <c r="L10" s="12"/>
      <c r="M10" s="19"/>
      <c r="N10" s="13">
        <f t="shared" si="0"/>
        <v>2266.6060000000002</v>
      </c>
      <c r="O10" s="14">
        <f t="shared" si="1"/>
        <v>17865.636000000002</v>
      </c>
      <c r="P10" s="19"/>
      <c r="Q10" s="19"/>
      <c r="R10" s="19"/>
      <c r="S10" s="11">
        <f t="shared" si="4"/>
        <v>793.3121000000001</v>
      </c>
      <c r="T10" s="19">
        <v>2188.2990328000001</v>
      </c>
      <c r="U10" s="21"/>
      <c r="V10" s="22"/>
      <c r="W10" s="22"/>
      <c r="X10" s="16">
        <f t="shared" si="2"/>
        <v>2981.6111328000002</v>
      </c>
      <c r="Y10" s="17">
        <f t="shared" si="3"/>
        <v>14884.024867200002</v>
      </c>
    </row>
    <row r="11" spans="2:25" ht="15" customHeight="1" x14ac:dyDescent="0.25">
      <c r="B11" s="7" t="s">
        <v>60</v>
      </c>
      <c r="C11" s="8" t="s">
        <v>28</v>
      </c>
      <c r="D11" s="9">
        <v>10</v>
      </c>
      <c r="E11" s="10">
        <f>14753.0937824354*1.025</f>
        <v>15121.921126996283</v>
      </c>
      <c r="F11" s="12">
        <v>1133</v>
      </c>
      <c r="G11" s="12">
        <v>1133</v>
      </c>
      <c r="H11" s="12">
        <v>1133</v>
      </c>
      <c r="I11" s="12">
        <v>1000</v>
      </c>
      <c r="J11" s="19"/>
      <c r="K11" s="19">
        <v>606</v>
      </c>
      <c r="L11" s="12"/>
      <c r="M11" s="19">
        <v>999</v>
      </c>
      <c r="N11" s="13">
        <f t="shared" si="0"/>
        <v>3024.3842253992566</v>
      </c>
      <c r="O11" s="14">
        <f t="shared" si="1"/>
        <v>24150.305352395539</v>
      </c>
      <c r="P11" s="19"/>
      <c r="Q11" s="19"/>
      <c r="R11" s="19">
        <f t="shared" ref="R11:R22" si="5">(E11*0.07)</f>
        <v>1058.5344788897398</v>
      </c>
      <c r="S11" s="11">
        <f t="shared" si="4"/>
        <v>1058.5344788897398</v>
      </c>
      <c r="T11" s="19">
        <v>3313.8206339764783</v>
      </c>
      <c r="U11" s="21"/>
      <c r="V11" s="22"/>
      <c r="W11" s="22"/>
      <c r="X11" s="16">
        <f t="shared" si="2"/>
        <v>5430.8895917559585</v>
      </c>
      <c r="Y11" s="17">
        <f t="shared" si="3"/>
        <v>18719.415760639582</v>
      </c>
    </row>
    <row r="12" spans="2:25" ht="15" customHeight="1" x14ac:dyDescent="0.25">
      <c r="B12" s="7" t="s">
        <v>60</v>
      </c>
      <c r="C12" s="8" t="s">
        <v>29</v>
      </c>
      <c r="D12" s="9">
        <v>8</v>
      </c>
      <c r="E12" s="10">
        <f>12779.3925*1.025</f>
        <v>13098.877312499999</v>
      </c>
      <c r="F12" s="12">
        <v>1133</v>
      </c>
      <c r="G12" s="12">
        <v>1133</v>
      </c>
      <c r="H12" s="12">
        <v>1133</v>
      </c>
      <c r="I12" s="12">
        <v>1000</v>
      </c>
      <c r="J12" s="11"/>
      <c r="K12" s="19">
        <v>525</v>
      </c>
      <c r="L12" s="12">
        <f>225</f>
        <v>225</v>
      </c>
      <c r="M12" s="12">
        <v>925</v>
      </c>
      <c r="N12" s="13">
        <f t="shared" si="0"/>
        <v>2619.7754624999998</v>
      </c>
      <c r="O12" s="14">
        <f t="shared" si="1"/>
        <v>21792.652775000002</v>
      </c>
      <c r="P12" s="19">
        <f t="shared" ref="P12:P21" si="6">(E12*0.01)</f>
        <v>130.98877312499999</v>
      </c>
      <c r="Q12" s="19">
        <f>1000</f>
        <v>1000</v>
      </c>
      <c r="R12" s="19">
        <f t="shared" si="5"/>
        <v>916.92141187499999</v>
      </c>
      <c r="S12" s="11">
        <f t="shared" si="4"/>
        <v>916.92141187499999</v>
      </c>
      <c r="T12" s="19">
        <v>2825.1107382899995</v>
      </c>
      <c r="U12" s="21"/>
      <c r="V12" s="22">
        <v>966.64</v>
      </c>
      <c r="W12" s="22"/>
      <c r="X12" s="16">
        <f t="shared" si="2"/>
        <v>6756.5823351650006</v>
      </c>
      <c r="Y12" s="17">
        <f t="shared" si="3"/>
        <v>15036.070439835003</v>
      </c>
    </row>
    <row r="13" spans="2:25" ht="22.5" x14ac:dyDescent="0.25">
      <c r="B13" s="7" t="s">
        <v>60</v>
      </c>
      <c r="C13" s="23" t="s">
        <v>30</v>
      </c>
      <c r="D13" s="24">
        <v>7</v>
      </c>
      <c r="E13" s="10">
        <f>11939.2455*1.025</f>
        <v>12237.7266375</v>
      </c>
      <c r="F13" s="12">
        <v>1133</v>
      </c>
      <c r="G13" s="12">
        <v>1133</v>
      </c>
      <c r="H13" s="12">
        <v>1133</v>
      </c>
      <c r="I13" s="12">
        <v>1000</v>
      </c>
      <c r="J13" s="11">
        <v>295</v>
      </c>
      <c r="K13" s="19">
        <v>491</v>
      </c>
      <c r="L13" s="19">
        <v>325</v>
      </c>
      <c r="M13" s="19">
        <v>893</v>
      </c>
      <c r="N13" s="13">
        <f t="shared" si="0"/>
        <v>2447.5453275</v>
      </c>
      <c r="O13" s="14">
        <f t="shared" si="1"/>
        <v>21088.271965</v>
      </c>
      <c r="P13" s="19">
        <f t="shared" si="6"/>
        <v>122.377266375</v>
      </c>
      <c r="Q13" s="19"/>
      <c r="R13" s="19">
        <f t="shared" si="5"/>
        <v>856.64086462500006</v>
      </c>
      <c r="S13" s="11">
        <f t="shared" si="4"/>
        <v>856.64086462500006</v>
      </c>
      <c r="T13" s="19">
        <v>2652.764235654</v>
      </c>
      <c r="U13" s="22"/>
      <c r="V13" s="21"/>
      <c r="W13" s="21"/>
      <c r="X13" s="16">
        <f t="shared" si="2"/>
        <v>4488.423231279</v>
      </c>
      <c r="Y13" s="17">
        <f t="shared" si="3"/>
        <v>16599.848733720999</v>
      </c>
    </row>
    <row r="14" spans="2:25" x14ac:dyDescent="0.25">
      <c r="B14" s="7" t="s">
        <v>60</v>
      </c>
      <c r="C14" s="23" t="s">
        <v>31</v>
      </c>
      <c r="D14" s="24">
        <v>7</v>
      </c>
      <c r="E14" s="10">
        <f>11939.2455*1.025</f>
        <v>12237.7266375</v>
      </c>
      <c r="F14" s="12">
        <v>1133</v>
      </c>
      <c r="G14" s="12">
        <v>1133</v>
      </c>
      <c r="H14" s="12">
        <v>1133</v>
      </c>
      <c r="I14" s="12">
        <v>1000</v>
      </c>
      <c r="J14" s="11">
        <v>295</v>
      </c>
      <c r="K14" s="19">
        <v>491</v>
      </c>
      <c r="L14" s="19"/>
      <c r="M14" s="19">
        <v>893</v>
      </c>
      <c r="N14" s="13">
        <f t="shared" si="0"/>
        <v>2447.5453275</v>
      </c>
      <c r="O14" s="14">
        <f t="shared" si="1"/>
        <v>20763.271965</v>
      </c>
      <c r="P14" s="19">
        <f t="shared" si="6"/>
        <v>122.377266375</v>
      </c>
      <c r="Q14" s="19"/>
      <c r="R14" s="19">
        <f t="shared" si="5"/>
        <v>856.64086462500006</v>
      </c>
      <c r="S14" s="11">
        <f t="shared" si="4"/>
        <v>856.64086462500006</v>
      </c>
      <c r="T14" s="19">
        <v>2576.3242356539999</v>
      </c>
      <c r="U14" s="21"/>
      <c r="V14" s="21"/>
      <c r="W14" s="21"/>
      <c r="X14" s="16">
        <f t="shared" si="2"/>
        <v>4411.9832312790004</v>
      </c>
      <c r="Y14" s="17">
        <f t="shared" si="3"/>
        <v>16351.288733721</v>
      </c>
    </row>
    <row r="15" spans="2:25" x14ac:dyDescent="0.25">
      <c r="B15" s="7" t="s">
        <v>60</v>
      </c>
      <c r="C15" s="8" t="s">
        <v>32</v>
      </c>
      <c r="D15" s="9">
        <v>5</v>
      </c>
      <c r="E15" s="10">
        <f>10472.385*1.025</f>
        <v>10734.194625</v>
      </c>
      <c r="F15" s="12">
        <v>1133</v>
      </c>
      <c r="G15" s="12">
        <v>1133</v>
      </c>
      <c r="H15" s="12">
        <v>1133</v>
      </c>
      <c r="I15" s="12">
        <v>1000</v>
      </c>
      <c r="J15" s="12">
        <v>260</v>
      </c>
      <c r="K15" s="19"/>
      <c r="L15" s="19">
        <f>525</f>
        <v>525</v>
      </c>
      <c r="M15" s="19">
        <v>838</v>
      </c>
      <c r="N15" s="13">
        <f t="shared" si="0"/>
        <v>2146.838925</v>
      </c>
      <c r="O15" s="14">
        <f t="shared" si="1"/>
        <v>18903.03355</v>
      </c>
      <c r="P15" s="19">
        <f t="shared" si="6"/>
        <v>107.34194625000001</v>
      </c>
      <c r="Q15" s="19"/>
      <c r="R15" s="19">
        <f t="shared" si="5"/>
        <v>751.39362375000007</v>
      </c>
      <c r="S15" s="11">
        <f t="shared" si="4"/>
        <v>751.39362375000007</v>
      </c>
      <c r="T15" s="19">
        <v>2266.32307309</v>
      </c>
      <c r="U15" s="21">
        <f>2583</f>
        <v>2583</v>
      </c>
      <c r="V15" s="22"/>
      <c r="W15" s="22"/>
      <c r="X15" s="16">
        <f t="shared" si="2"/>
        <v>6459.4522668400004</v>
      </c>
      <c r="Y15" s="17">
        <f t="shared" si="3"/>
        <v>12443.58128316</v>
      </c>
    </row>
    <row r="16" spans="2:25" x14ac:dyDescent="0.25">
      <c r="B16" s="7" t="s">
        <v>60</v>
      </c>
      <c r="C16" s="8" t="s">
        <v>33</v>
      </c>
      <c r="D16" s="9">
        <v>5</v>
      </c>
      <c r="E16" s="10">
        <f>10472.385*1.025</f>
        <v>10734.194625</v>
      </c>
      <c r="F16" s="12">
        <v>1133</v>
      </c>
      <c r="G16" s="12">
        <v>1133</v>
      </c>
      <c r="H16" s="12">
        <v>1133</v>
      </c>
      <c r="I16" s="12">
        <v>1000</v>
      </c>
      <c r="J16" s="12">
        <v>260</v>
      </c>
      <c r="K16" s="19"/>
      <c r="L16" s="12"/>
      <c r="M16" s="19">
        <v>838</v>
      </c>
      <c r="N16" s="13">
        <f t="shared" si="0"/>
        <v>2146.838925</v>
      </c>
      <c r="O16" s="14">
        <f t="shared" si="1"/>
        <v>18378.03355</v>
      </c>
      <c r="P16" s="19">
        <f t="shared" si="6"/>
        <v>107.34194625000001</v>
      </c>
      <c r="Q16" s="19">
        <f>500</f>
        <v>500</v>
      </c>
      <c r="R16" s="19">
        <f t="shared" si="5"/>
        <v>751.39362375000007</v>
      </c>
      <c r="S16" s="11">
        <f t="shared" si="4"/>
        <v>751.39362375000007</v>
      </c>
      <c r="T16" s="19">
        <v>2154.1830730900001</v>
      </c>
      <c r="U16" s="21"/>
      <c r="V16" s="22"/>
      <c r="W16" s="22"/>
      <c r="X16" s="16">
        <f t="shared" si="2"/>
        <v>4264.3122668400001</v>
      </c>
      <c r="Y16" s="17">
        <f t="shared" si="3"/>
        <v>14113.721283160001</v>
      </c>
    </row>
    <row r="17" spans="2:26" x14ac:dyDescent="0.25">
      <c r="B17" s="7" t="s">
        <v>60</v>
      </c>
      <c r="C17" s="8" t="s">
        <v>34</v>
      </c>
      <c r="D17" s="9">
        <v>4</v>
      </c>
      <c r="E17" s="10">
        <f>9192.729*1.025</f>
        <v>9422.5472249999984</v>
      </c>
      <c r="F17" s="12">
        <v>1133</v>
      </c>
      <c r="G17" s="12">
        <v>1133</v>
      </c>
      <c r="H17" s="12">
        <v>1133</v>
      </c>
      <c r="I17" s="12">
        <v>1000</v>
      </c>
      <c r="J17" s="12">
        <v>230</v>
      </c>
      <c r="K17" s="19"/>
      <c r="L17" s="12"/>
      <c r="M17" s="19">
        <v>790</v>
      </c>
      <c r="N17" s="13">
        <f t="shared" si="0"/>
        <v>1884.5094449999997</v>
      </c>
      <c r="O17" s="14">
        <f t="shared" si="1"/>
        <v>16726.056669999998</v>
      </c>
      <c r="P17" s="19">
        <f t="shared" si="6"/>
        <v>94.225472249999981</v>
      </c>
      <c r="Q17" s="19"/>
      <c r="R17" s="19">
        <f t="shared" si="5"/>
        <v>659.57830574999991</v>
      </c>
      <c r="S17" s="11">
        <f t="shared" si="4"/>
        <v>659.57830574999991</v>
      </c>
      <c r="T17" s="19">
        <v>1837.6679999859998</v>
      </c>
      <c r="U17" s="21"/>
      <c r="V17" s="22"/>
      <c r="W17" s="22"/>
      <c r="X17" s="16">
        <f t="shared" si="2"/>
        <v>3251.0500837359996</v>
      </c>
      <c r="Y17" s="17">
        <f t="shared" si="3"/>
        <v>13475.006586263999</v>
      </c>
    </row>
    <row r="18" spans="2:26" x14ac:dyDescent="0.25">
      <c r="B18" s="7" t="s">
        <v>60</v>
      </c>
      <c r="C18" s="8" t="s">
        <v>35</v>
      </c>
      <c r="D18" s="9">
        <v>4</v>
      </c>
      <c r="E18" s="10">
        <f>9192.729*1.025</f>
        <v>9422.5472249999984</v>
      </c>
      <c r="F18" s="12">
        <v>1133</v>
      </c>
      <c r="G18" s="12">
        <v>1133</v>
      </c>
      <c r="H18" s="12">
        <v>1133</v>
      </c>
      <c r="I18" s="12">
        <v>1000</v>
      </c>
      <c r="J18" s="12">
        <v>230</v>
      </c>
      <c r="K18" s="19"/>
      <c r="L18" s="12"/>
      <c r="M18" s="19">
        <v>790</v>
      </c>
      <c r="N18" s="13">
        <f t="shared" si="0"/>
        <v>1884.5094449999997</v>
      </c>
      <c r="O18" s="14">
        <f t="shared" si="1"/>
        <v>16726.056669999998</v>
      </c>
      <c r="P18" s="19">
        <f t="shared" si="6"/>
        <v>94.225472249999981</v>
      </c>
      <c r="Q18" s="19">
        <f>500</f>
        <v>500</v>
      </c>
      <c r="R18" s="19">
        <f t="shared" si="5"/>
        <v>659.57830574999991</v>
      </c>
      <c r="S18" s="11">
        <f t="shared" si="4"/>
        <v>659.57830574999991</v>
      </c>
      <c r="T18" s="19">
        <v>1837.6679999859998</v>
      </c>
      <c r="U18" s="21"/>
      <c r="V18" s="22"/>
      <c r="W18" s="22"/>
      <c r="X18" s="16">
        <f t="shared" si="2"/>
        <v>3751.0500837359996</v>
      </c>
      <c r="Y18" s="17">
        <f t="shared" si="3"/>
        <v>12975.006586263999</v>
      </c>
    </row>
    <row r="19" spans="2:26" x14ac:dyDescent="0.25">
      <c r="B19" s="7" t="s">
        <v>60</v>
      </c>
      <c r="C19" s="8" t="s">
        <v>36</v>
      </c>
      <c r="D19" s="9">
        <v>2</v>
      </c>
      <c r="E19" s="10">
        <f>7675.6365*1.025</f>
        <v>7867.5274124999987</v>
      </c>
      <c r="F19" s="12">
        <v>1133</v>
      </c>
      <c r="G19" s="12">
        <v>1133</v>
      </c>
      <c r="H19" s="12">
        <v>1133</v>
      </c>
      <c r="I19" s="12">
        <v>1000</v>
      </c>
      <c r="J19" s="12">
        <v>190</v>
      </c>
      <c r="K19" s="19"/>
      <c r="L19" s="12"/>
      <c r="M19" s="19">
        <v>733</v>
      </c>
      <c r="N19" s="13">
        <f t="shared" si="0"/>
        <v>1573.5054824999997</v>
      </c>
      <c r="O19" s="14">
        <f t="shared" si="1"/>
        <v>14763.032895</v>
      </c>
      <c r="P19" s="19">
        <f t="shared" si="6"/>
        <v>78.675274124999987</v>
      </c>
      <c r="Q19" s="19">
        <f>1000</f>
        <v>1000</v>
      </c>
      <c r="R19" s="19">
        <f t="shared" si="5"/>
        <v>550.72691887499991</v>
      </c>
      <c r="S19" s="11">
        <f t="shared" si="4"/>
        <v>550.72691887499991</v>
      </c>
      <c r="T19" s="19">
        <v>1461.9409448410001</v>
      </c>
      <c r="U19" s="21"/>
      <c r="V19" s="22"/>
      <c r="W19" s="22"/>
      <c r="X19" s="16">
        <f t="shared" si="2"/>
        <v>3642.0700567159997</v>
      </c>
      <c r="Y19" s="17">
        <f t="shared" si="3"/>
        <v>11120.962838284</v>
      </c>
    </row>
    <row r="20" spans="2:26" x14ac:dyDescent="0.25">
      <c r="B20" s="7" t="s">
        <v>60</v>
      </c>
      <c r="C20" s="8" t="s">
        <v>37</v>
      </c>
      <c r="D20" s="9">
        <v>2</v>
      </c>
      <c r="E20" s="10">
        <f>7675.6365*1.025</f>
        <v>7867.5274124999987</v>
      </c>
      <c r="F20" s="12">
        <v>1133</v>
      </c>
      <c r="G20" s="12">
        <v>1133</v>
      </c>
      <c r="H20" s="12">
        <v>1133</v>
      </c>
      <c r="I20" s="12">
        <v>1000</v>
      </c>
      <c r="J20" s="12">
        <v>190</v>
      </c>
      <c r="K20" s="19"/>
      <c r="L20" s="12"/>
      <c r="M20" s="19">
        <v>733</v>
      </c>
      <c r="N20" s="13">
        <f t="shared" si="0"/>
        <v>1573.5054824999997</v>
      </c>
      <c r="O20" s="14">
        <f t="shared" si="1"/>
        <v>14763.032895</v>
      </c>
      <c r="P20" s="19">
        <f t="shared" si="6"/>
        <v>78.675274124999987</v>
      </c>
      <c r="Q20" s="19">
        <f>500</f>
        <v>500</v>
      </c>
      <c r="R20" s="19">
        <f t="shared" si="5"/>
        <v>550.72691887499991</v>
      </c>
      <c r="S20" s="11">
        <f t="shared" si="4"/>
        <v>550.72691887499991</v>
      </c>
      <c r="T20" s="19">
        <v>1461.9409448410001</v>
      </c>
      <c r="U20" s="21"/>
      <c r="V20" s="22">
        <v>966.64</v>
      </c>
      <c r="W20" s="22">
        <v>1325</v>
      </c>
      <c r="X20" s="16">
        <f t="shared" si="2"/>
        <v>5433.7100567160005</v>
      </c>
      <c r="Y20" s="17">
        <f t="shared" si="3"/>
        <v>9329.3228382839989</v>
      </c>
    </row>
    <row r="21" spans="2:26" ht="22.5" x14ac:dyDescent="0.25">
      <c r="B21" s="7" t="s">
        <v>60</v>
      </c>
      <c r="C21" s="8" t="s">
        <v>38</v>
      </c>
      <c r="D21" s="9"/>
      <c r="E21" s="10">
        <f>7204.1865*1.025</f>
        <v>7384.2911624999988</v>
      </c>
      <c r="F21" s="12">
        <v>1133</v>
      </c>
      <c r="G21" s="12">
        <v>1133</v>
      </c>
      <c r="H21" s="12">
        <v>1133</v>
      </c>
      <c r="I21" s="12">
        <v>1000</v>
      </c>
      <c r="J21" s="12">
        <v>180</v>
      </c>
      <c r="K21" s="19"/>
      <c r="L21" s="12"/>
      <c r="M21" s="19">
        <v>715</v>
      </c>
      <c r="N21" s="13">
        <f t="shared" si="0"/>
        <v>1476.8582324999998</v>
      </c>
      <c r="O21" s="14">
        <f t="shared" si="1"/>
        <v>14155.149394999997</v>
      </c>
      <c r="P21" s="19">
        <f t="shared" si="6"/>
        <v>73.842911624999985</v>
      </c>
      <c r="Q21" s="19">
        <f>500</f>
        <v>500</v>
      </c>
      <c r="R21" s="19">
        <f t="shared" si="5"/>
        <v>516.90038137499994</v>
      </c>
      <c r="S21" s="11">
        <f t="shared" si="4"/>
        <v>516.90038137499994</v>
      </c>
      <c r="T21" s="19">
        <v>1345.4093555409995</v>
      </c>
      <c r="U21" s="21"/>
      <c r="V21" s="22"/>
      <c r="W21" s="22"/>
      <c r="X21" s="16">
        <f t="shared" si="2"/>
        <v>2953.0530299159996</v>
      </c>
      <c r="Y21" s="17">
        <f t="shared" si="3"/>
        <v>11202.096365083997</v>
      </c>
    </row>
    <row r="22" spans="2:26" ht="22.5" x14ac:dyDescent="0.25">
      <c r="B22" s="7" t="s">
        <v>60</v>
      </c>
      <c r="C22" s="8" t="s">
        <v>39</v>
      </c>
      <c r="D22" s="9">
        <v>1</v>
      </c>
      <c r="E22" s="10">
        <f>7204.1865*1.025</f>
        <v>7384.2911624999988</v>
      </c>
      <c r="F22" s="12">
        <v>1133</v>
      </c>
      <c r="G22" s="12">
        <v>1133</v>
      </c>
      <c r="H22" s="12">
        <v>1133</v>
      </c>
      <c r="I22" s="12">
        <v>1000</v>
      </c>
      <c r="J22" s="12">
        <v>180</v>
      </c>
      <c r="K22" s="19"/>
      <c r="L22" s="12"/>
      <c r="M22" s="19">
        <v>715</v>
      </c>
      <c r="N22" s="13">
        <f t="shared" si="0"/>
        <v>1476.8582324999998</v>
      </c>
      <c r="O22" s="14">
        <f t="shared" si="1"/>
        <v>14155.149394999997</v>
      </c>
      <c r="P22" s="19"/>
      <c r="Q22" s="19"/>
      <c r="R22" s="19">
        <f t="shared" si="5"/>
        <v>516.90038137499994</v>
      </c>
      <c r="S22" s="11">
        <f t="shared" si="4"/>
        <v>516.90038137499994</v>
      </c>
      <c r="T22" s="19">
        <v>1345.4093555409995</v>
      </c>
      <c r="U22" s="21"/>
      <c r="V22" s="22"/>
      <c r="W22" s="22"/>
      <c r="X22" s="16">
        <f t="shared" si="2"/>
        <v>2379.2101182909992</v>
      </c>
      <c r="Y22" s="17">
        <f t="shared" si="3"/>
        <v>11775.939276708998</v>
      </c>
    </row>
    <row r="23" spans="2:26" ht="22.5" x14ac:dyDescent="0.25">
      <c r="B23" s="7" t="s">
        <v>61</v>
      </c>
      <c r="C23" s="8" t="s">
        <v>40</v>
      </c>
      <c r="D23" s="9"/>
      <c r="E23" s="10">
        <f>6069.96</f>
        <v>6069.96</v>
      </c>
      <c r="F23" s="28"/>
      <c r="G23" s="28"/>
      <c r="H23" s="28"/>
      <c r="I23" s="25"/>
      <c r="J23" s="26"/>
      <c r="K23" s="26"/>
      <c r="L23" s="26"/>
      <c r="M23" s="19"/>
      <c r="N23" s="20"/>
      <c r="O23" s="14">
        <f t="shared" si="1"/>
        <v>6069.96</v>
      </c>
      <c r="P23" s="19"/>
      <c r="Q23" s="26"/>
      <c r="R23" s="26"/>
      <c r="S23" s="11"/>
      <c r="T23" s="19">
        <v>527.76699999999994</v>
      </c>
      <c r="U23" s="21"/>
      <c r="V23" s="22"/>
      <c r="W23" s="22"/>
      <c r="X23" s="16">
        <f t="shared" si="2"/>
        <v>527.76699999999994</v>
      </c>
      <c r="Y23" s="17">
        <f t="shared" si="3"/>
        <v>5542.1930000000002</v>
      </c>
    </row>
    <row r="24" spans="2:26" x14ac:dyDescent="0.25">
      <c r="B24" s="7" t="s">
        <v>61</v>
      </c>
      <c r="C24" s="23" t="s">
        <v>41</v>
      </c>
      <c r="D24" s="29"/>
      <c r="E24" s="30">
        <f>3018.5</f>
        <v>3018.5</v>
      </c>
      <c r="F24" s="28"/>
      <c r="G24" s="28"/>
      <c r="H24" s="28"/>
      <c r="I24" s="25"/>
      <c r="J24" s="26"/>
      <c r="K24" s="26"/>
      <c r="L24" s="26"/>
      <c r="M24" s="19"/>
      <c r="N24" s="20"/>
      <c r="O24" s="14">
        <f t="shared" si="1"/>
        <v>3018.5</v>
      </c>
      <c r="P24" s="19"/>
      <c r="Q24" s="26"/>
      <c r="R24" s="26"/>
      <c r="S24" s="11"/>
      <c r="T24" s="19">
        <v>176.47039999999998</v>
      </c>
      <c r="U24" s="21"/>
      <c r="V24" s="22"/>
      <c r="W24" s="22"/>
      <c r="X24" s="16">
        <f t="shared" si="2"/>
        <v>176.47039999999998</v>
      </c>
      <c r="Y24" s="17">
        <f t="shared" si="3"/>
        <v>2842.0295999999998</v>
      </c>
    </row>
    <row r="25" spans="2:26" ht="15.75" thickBot="1" x14ac:dyDescent="0.3">
      <c r="B25" s="7"/>
      <c r="C25" s="32"/>
      <c r="D25" s="33"/>
      <c r="E25" s="34">
        <f t="shared" ref="E25:Y25" si="7">SUM(E4:E24)</f>
        <v>238122.87256449627</v>
      </c>
      <c r="F25" s="34">
        <f t="shared" si="7"/>
        <v>17196</v>
      </c>
      <c r="G25" s="34">
        <f t="shared" si="7"/>
        <v>18096</v>
      </c>
      <c r="H25" s="34">
        <f t="shared" si="7"/>
        <v>17196</v>
      </c>
      <c r="I25" s="34">
        <f t="shared" si="7"/>
        <v>16000</v>
      </c>
      <c r="J25" s="34">
        <f t="shared" si="7"/>
        <v>2310</v>
      </c>
      <c r="K25" s="34">
        <f t="shared" si="7"/>
        <v>4929</v>
      </c>
      <c r="L25" s="34">
        <f t="shared" si="7"/>
        <v>1075</v>
      </c>
      <c r="M25" s="34">
        <f t="shared" si="7"/>
        <v>9862</v>
      </c>
      <c r="N25" s="34">
        <f t="shared" si="7"/>
        <v>45806.882512899261</v>
      </c>
      <c r="O25" s="34">
        <f t="shared" si="7"/>
        <v>370593.75507739559</v>
      </c>
      <c r="P25" s="34">
        <f t="shared" si="7"/>
        <v>1010.0716027499998</v>
      </c>
      <c r="Q25" s="34">
        <f t="shared" si="7"/>
        <v>4000</v>
      </c>
      <c r="R25" s="34">
        <f t="shared" si="7"/>
        <v>8645.9360795147404</v>
      </c>
      <c r="S25" s="34">
        <f t="shared" si="7"/>
        <v>16032.408879514742</v>
      </c>
      <c r="T25" s="34">
        <f t="shared" si="7"/>
        <v>46669.586570490486</v>
      </c>
      <c r="U25" s="34">
        <f t="shared" si="7"/>
        <v>2583</v>
      </c>
      <c r="V25" s="34">
        <f t="shared" si="7"/>
        <v>1933.28</v>
      </c>
      <c r="W25" s="34">
        <f t="shared" si="7"/>
        <v>1325</v>
      </c>
      <c r="X25" s="34">
        <f t="shared" si="7"/>
        <v>82199.283132269964</v>
      </c>
      <c r="Y25" s="34">
        <f t="shared" si="7"/>
        <v>288394.47194512561</v>
      </c>
      <c r="Z25" s="18"/>
    </row>
    <row r="30" spans="2:26" x14ac:dyDescent="0.25">
      <c r="B30" t="s">
        <v>58</v>
      </c>
      <c r="C30" t="s">
        <v>54</v>
      </c>
    </row>
    <row r="31" spans="2:26" x14ac:dyDescent="0.25">
      <c r="B31" t="s">
        <v>59</v>
      </c>
      <c r="C31" t="s">
        <v>55</v>
      </c>
    </row>
    <row r="32" spans="2:26" x14ac:dyDescent="0.25">
      <c r="B32" t="s">
        <v>60</v>
      </c>
      <c r="C32" t="s">
        <v>62</v>
      </c>
    </row>
    <row r="33" spans="2:3" x14ac:dyDescent="0.25">
      <c r="B33" t="s">
        <v>61</v>
      </c>
      <c r="C33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2"/>
  <sheetViews>
    <sheetView workbookViewId="0">
      <selection activeCell="AA26" sqref="AA26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5" width="8.7109375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5" width="10.140625" customWidth="1"/>
    <col min="26" max="26" width="9.5703125" customWidth="1"/>
    <col min="27" max="27" width="12.5703125" bestFit="1" customWidth="1"/>
    <col min="28" max="28" width="14.140625" bestFit="1" customWidth="1"/>
  </cols>
  <sheetData>
    <row r="1" spans="2:27" ht="18.75" x14ac:dyDescent="0.25">
      <c r="E1" s="1"/>
      <c r="F1" s="2" t="s">
        <v>88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7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7" ht="48.75" customHeight="1" x14ac:dyDescent="0.25">
      <c r="B3" s="40"/>
      <c r="C3" s="40"/>
      <c r="D3" s="3" t="s">
        <v>1</v>
      </c>
      <c r="E3" s="44" t="s">
        <v>2</v>
      </c>
      <c r="F3" s="45" t="s">
        <v>3</v>
      </c>
      <c r="G3" s="45" t="s">
        <v>4</v>
      </c>
      <c r="H3" s="45" t="s">
        <v>5</v>
      </c>
      <c r="I3" s="45" t="s">
        <v>6</v>
      </c>
      <c r="J3" s="45" t="s">
        <v>7</v>
      </c>
      <c r="K3" s="45" t="s">
        <v>8</v>
      </c>
      <c r="L3" s="45" t="s">
        <v>9</v>
      </c>
      <c r="M3" s="45" t="s">
        <v>10</v>
      </c>
      <c r="N3" s="45" t="s">
        <v>11</v>
      </c>
      <c r="O3" s="46" t="s">
        <v>68</v>
      </c>
      <c r="P3" s="41"/>
      <c r="Q3" s="4" t="s">
        <v>13</v>
      </c>
      <c r="R3" s="4" t="s">
        <v>14</v>
      </c>
      <c r="S3" s="4" t="s">
        <v>15</v>
      </c>
      <c r="T3" s="4" t="s">
        <v>16</v>
      </c>
      <c r="U3" s="4" t="s">
        <v>17</v>
      </c>
      <c r="V3" s="5" t="s">
        <v>18</v>
      </c>
      <c r="W3" s="42" t="s">
        <v>0</v>
      </c>
      <c r="X3" s="42" t="s">
        <v>52</v>
      </c>
      <c r="Y3" s="42" t="s">
        <v>91</v>
      </c>
      <c r="Z3" s="42"/>
      <c r="AA3" s="43"/>
    </row>
    <row r="4" spans="2:27" x14ac:dyDescent="0.25">
      <c r="B4" s="7" t="s">
        <v>58</v>
      </c>
      <c r="C4" s="8" t="s">
        <v>21</v>
      </c>
      <c r="D4" s="9">
        <v>17</v>
      </c>
      <c r="E4" s="10">
        <f>38573.38/2</f>
        <v>19286.689999999999</v>
      </c>
      <c r="F4" s="12">
        <v>200</v>
      </c>
      <c r="G4" s="11"/>
      <c r="H4" s="12"/>
      <c r="I4" s="11"/>
      <c r="J4" s="11"/>
      <c r="K4" s="11"/>
      <c r="L4" s="11"/>
      <c r="M4" s="11"/>
      <c r="N4" s="13"/>
      <c r="O4" s="13"/>
      <c r="P4" s="14">
        <f>SUM(E4:O4)</f>
        <v>19486.689999999999</v>
      </c>
      <c r="Q4" s="11"/>
      <c r="R4" s="11"/>
      <c r="S4" s="11"/>
      <c r="T4" s="11">
        <f t="shared" ref="T4:T22" si="0">(E4*0.07)</f>
        <v>1350.0683000000001</v>
      </c>
      <c r="U4" s="11">
        <v>3388.3970879999997</v>
      </c>
      <c r="V4" s="15"/>
      <c r="W4" s="16"/>
      <c r="X4" s="16"/>
      <c r="Y4" s="16"/>
      <c r="Z4" s="16">
        <f t="shared" ref="Z4:Z24" si="1">SUM(Q4:Y4)</f>
        <v>4738.4653879999996</v>
      </c>
      <c r="AA4" s="17">
        <f t="shared" ref="AA4:AA24" si="2">+P4-Z4</f>
        <v>14748.224611999998</v>
      </c>
    </row>
    <row r="5" spans="2:27" x14ac:dyDescent="0.25">
      <c r="B5" s="7" t="s">
        <v>58</v>
      </c>
      <c r="C5" s="8" t="s">
        <v>22</v>
      </c>
      <c r="D5" s="9">
        <v>14</v>
      </c>
      <c r="E5" s="10">
        <f>14917.51</f>
        <v>14917.51</v>
      </c>
      <c r="F5" s="12">
        <v>200</v>
      </c>
      <c r="G5" s="19"/>
      <c r="H5" s="12"/>
      <c r="I5" s="19"/>
      <c r="J5" s="19"/>
      <c r="K5" s="19"/>
      <c r="L5" s="19"/>
      <c r="M5" s="19"/>
      <c r="N5" s="20"/>
      <c r="O5" s="20"/>
      <c r="P5" s="14">
        <f t="shared" ref="P5:P24" si="3">SUM(E5:O5)</f>
        <v>15117.51</v>
      </c>
      <c r="Q5" s="19"/>
      <c r="R5" s="19"/>
      <c r="S5" s="19"/>
      <c r="T5" s="11">
        <f t="shared" si="0"/>
        <v>1044.2257000000002</v>
      </c>
      <c r="U5" s="19">
        <v>2373.7416400000002</v>
      </c>
      <c r="V5" s="21"/>
      <c r="W5" s="22"/>
      <c r="X5" s="22"/>
      <c r="Y5" s="22"/>
      <c r="Z5" s="16">
        <f t="shared" si="1"/>
        <v>3417.9673400000001</v>
      </c>
      <c r="AA5" s="17">
        <f t="shared" si="2"/>
        <v>11699.542659999999</v>
      </c>
    </row>
    <row r="6" spans="2:27" x14ac:dyDescent="0.25">
      <c r="B6" s="7" t="s">
        <v>58</v>
      </c>
      <c r="C6" s="8" t="s">
        <v>23</v>
      </c>
      <c r="D6" s="9">
        <v>14</v>
      </c>
      <c r="E6" s="10">
        <f>14917.51</f>
        <v>14917.51</v>
      </c>
      <c r="F6" s="12">
        <v>200</v>
      </c>
      <c r="G6" s="19"/>
      <c r="H6" s="12"/>
      <c r="I6" s="19"/>
      <c r="J6" s="19"/>
      <c r="K6" s="19"/>
      <c r="L6" s="19"/>
      <c r="M6" s="19"/>
      <c r="N6" s="20"/>
      <c r="O6" s="20"/>
      <c r="P6" s="14">
        <f t="shared" si="3"/>
        <v>15117.51</v>
      </c>
      <c r="Q6" s="19"/>
      <c r="R6" s="19"/>
      <c r="S6" s="19"/>
      <c r="T6" s="11">
        <f t="shared" si="0"/>
        <v>1044.2257000000002</v>
      </c>
      <c r="U6" s="19">
        <v>2373.7416400000002</v>
      </c>
      <c r="V6" s="21"/>
      <c r="W6" s="22"/>
      <c r="X6" s="22"/>
      <c r="Y6" s="22"/>
      <c r="Z6" s="16">
        <f t="shared" si="1"/>
        <v>3417.9673400000001</v>
      </c>
      <c r="AA6" s="17">
        <f t="shared" si="2"/>
        <v>11699.542659999999</v>
      </c>
    </row>
    <row r="7" spans="2:27" x14ac:dyDescent="0.25">
      <c r="B7" s="7" t="s">
        <v>59</v>
      </c>
      <c r="C7" s="8" t="s">
        <v>24</v>
      </c>
      <c r="D7" s="9">
        <v>13</v>
      </c>
      <c r="E7" s="10">
        <f>15022.1</f>
        <v>15022.1</v>
      </c>
      <c r="F7" s="12">
        <v>900</v>
      </c>
      <c r="G7" s="12">
        <v>900</v>
      </c>
      <c r="H7" s="12">
        <v>900</v>
      </c>
      <c r="I7" s="12">
        <v>3000</v>
      </c>
      <c r="J7" s="19">
        <v>3341.8</v>
      </c>
      <c r="K7" s="19">
        <v>733</v>
      </c>
      <c r="L7" s="12"/>
      <c r="M7" s="19"/>
      <c r="N7" s="20">
        <f t="shared" ref="N7:N14" si="4">(E7/15)*2</f>
        <v>2002.9466666666667</v>
      </c>
      <c r="O7" s="20">
        <f t="shared" ref="O7:O22" si="5">(E7/15)*6</f>
        <v>6008.84</v>
      </c>
      <c r="P7" s="14">
        <f t="shared" si="3"/>
        <v>32808.686666666661</v>
      </c>
      <c r="Q7" s="19"/>
      <c r="R7" s="19"/>
      <c r="S7" s="19"/>
      <c r="T7" s="11">
        <f t="shared" si="0"/>
        <v>1051.547</v>
      </c>
      <c r="U7" s="19">
        <v>4136.028112</v>
      </c>
      <c r="V7" s="21"/>
      <c r="W7" s="22"/>
      <c r="X7" s="22"/>
      <c r="Y7" s="22"/>
      <c r="Z7" s="16">
        <f t="shared" si="1"/>
        <v>5187.5751120000004</v>
      </c>
      <c r="AA7" s="17">
        <f t="shared" si="2"/>
        <v>27621.111554666662</v>
      </c>
    </row>
    <row r="8" spans="2:27" ht="15" customHeight="1" x14ac:dyDescent="0.25">
      <c r="B8" s="7" t="s">
        <v>59</v>
      </c>
      <c r="C8" s="8" t="s">
        <v>25</v>
      </c>
      <c r="D8" s="9">
        <v>13</v>
      </c>
      <c r="E8" s="10">
        <f>15022.1</f>
        <v>15022.1</v>
      </c>
      <c r="F8" s="12">
        <v>900</v>
      </c>
      <c r="G8" s="12">
        <v>900</v>
      </c>
      <c r="H8" s="12">
        <v>900</v>
      </c>
      <c r="I8" s="12">
        <v>3000</v>
      </c>
      <c r="J8" s="19">
        <v>3341.8</v>
      </c>
      <c r="K8" s="19">
        <v>733</v>
      </c>
      <c r="L8" s="12"/>
      <c r="M8" s="19"/>
      <c r="N8" s="20">
        <f t="shared" si="4"/>
        <v>2002.9466666666667</v>
      </c>
      <c r="O8" s="20">
        <f t="shared" si="5"/>
        <v>6008.84</v>
      </c>
      <c r="P8" s="14">
        <f t="shared" si="3"/>
        <v>32808.686666666661</v>
      </c>
      <c r="Q8" s="19"/>
      <c r="R8" s="19"/>
      <c r="S8" s="19"/>
      <c r="T8" s="11">
        <f t="shared" si="0"/>
        <v>1051.547</v>
      </c>
      <c r="U8" s="19">
        <v>4136.028112</v>
      </c>
      <c r="V8" s="21"/>
      <c r="W8" s="22"/>
      <c r="X8" s="22"/>
      <c r="Y8" s="22"/>
      <c r="Z8" s="16">
        <f t="shared" si="1"/>
        <v>5187.5751120000004</v>
      </c>
      <c r="AA8" s="17">
        <f t="shared" si="2"/>
        <v>27621.111554666662</v>
      </c>
    </row>
    <row r="9" spans="2:27" ht="15" customHeight="1" x14ac:dyDescent="0.25">
      <c r="B9" s="7" t="s">
        <v>59</v>
      </c>
      <c r="C9" s="8" t="s">
        <v>26</v>
      </c>
      <c r="D9" s="9">
        <v>13</v>
      </c>
      <c r="E9" s="10">
        <f>15022.1</f>
        <v>15022.1</v>
      </c>
      <c r="F9" s="12">
        <v>900</v>
      </c>
      <c r="G9" s="12">
        <v>900</v>
      </c>
      <c r="H9" s="12">
        <v>900</v>
      </c>
      <c r="I9" s="12">
        <v>3000</v>
      </c>
      <c r="J9" s="19">
        <v>3341.8</v>
      </c>
      <c r="K9" s="19">
        <v>733</v>
      </c>
      <c r="L9" s="12"/>
      <c r="M9" s="19"/>
      <c r="N9" s="20">
        <f t="shared" si="4"/>
        <v>2002.9466666666667</v>
      </c>
      <c r="O9" s="20">
        <f t="shared" si="5"/>
        <v>6008.84</v>
      </c>
      <c r="P9" s="14">
        <f t="shared" si="3"/>
        <v>32808.686666666661</v>
      </c>
      <c r="Q9" s="19"/>
      <c r="R9" s="19"/>
      <c r="S9" s="19"/>
      <c r="T9" s="11">
        <f t="shared" si="0"/>
        <v>1051.547</v>
      </c>
      <c r="U9" s="19">
        <v>4136.028112</v>
      </c>
      <c r="V9" s="21"/>
      <c r="W9" s="22"/>
      <c r="X9" s="22"/>
      <c r="Y9" s="22"/>
      <c r="Z9" s="16">
        <f t="shared" si="1"/>
        <v>5187.5751120000004</v>
      </c>
      <c r="AA9" s="17">
        <f t="shared" si="2"/>
        <v>27621.111554666662</v>
      </c>
    </row>
    <row r="10" spans="2:27" ht="15" customHeight="1" x14ac:dyDescent="0.25">
      <c r="B10" s="7" t="s">
        <v>59</v>
      </c>
      <c r="C10" s="8" t="s">
        <v>27</v>
      </c>
      <c r="D10" s="9">
        <v>9</v>
      </c>
      <c r="E10" s="10">
        <f>11333.03</f>
        <v>11333.03</v>
      </c>
      <c r="F10" s="12">
        <v>900</v>
      </c>
      <c r="G10" s="12">
        <v>900</v>
      </c>
      <c r="H10" s="12">
        <v>900</v>
      </c>
      <c r="I10" s="12">
        <v>1050</v>
      </c>
      <c r="J10" s="19">
        <v>1803.2</v>
      </c>
      <c r="K10" s="19">
        <v>675</v>
      </c>
      <c r="L10" s="12"/>
      <c r="M10" s="19"/>
      <c r="N10" s="20">
        <f t="shared" si="4"/>
        <v>1511.0706666666667</v>
      </c>
      <c r="O10" s="20">
        <f t="shared" si="5"/>
        <v>4533.2120000000004</v>
      </c>
      <c r="P10" s="14">
        <f t="shared" si="3"/>
        <v>23605.512666666666</v>
      </c>
      <c r="Q10" s="19"/>
      <c r="R10" s="19"/>
      <c r="S10" s="19"/>
      <c r="T10" s="11">
        <f t="shared" si="0"/>
        <v>793.3121000000001</v>
      </c>
      <c r="U10" s="19">
        <v>2619.9002175999999</v>
      </c>
      <c r="V10" s="21"/>
      <c r="W10" s="22"/>
      <c r="X10" s="22"/>
      <c r="Y10" s="22"/>
      <c r="Z10" s="16">
        <f t="shared" si="1"/>
        <v>3413.2123176</v>
      </c>
      <c r="AA10" s="17">
        <f t="shared" si="2"/>
        <v>20192.300349066667</v>
      </c>
    </row>
    <row r="11" spans="2:27" ht="15" customHeight="1" x14ac:dyDescent="0.25">
      <c r="B11" s="7" t="s">
        <v>60</v>
      </c>
      <c r="C11" s="8" t="s">
        <v>28</v>
      </c>
      <c r="D11" s="9">
        <v>10</v>
      </c>
      <c r="E11" s="10">
        <f>14753.0937824354*1.025</f>
        <v>15121.921126996283</v>
      </c>
      <c r="F11" s="12">
        <v>1100</v>
      </c>
      <c r="G11" s="12">
        <v>1133</v>
      </c>
      <c r="H11" s="12">
        <v>1140</v>
      </c>
      <c r="I11" s="12">
        <v>1150</v>
      </c>
      <c r="J11" s="19">
        <v>1934.8</v>
      </c>
      <c r="K11" s="19">
        <v>787</v>
      </c>
      <c r="L11" s="12"/>
      <c r="M11" s="19">
        <v>945</v>
      </c>
      <c r="N11" s="20">
        <f t="shared" si="4"/>
        <v>2016.2561502661711</v>
      </c>
      <c r="O11" s="20">
        <f t="shared" si="5"/>
        <v>6048.7684507985132</v>
      </c>
      <c r="P11" s="14">
        <f t="shared" si="3"/>
        <v>31376.745728060967</v>
      </c>
      <c r="Q11" s="19"/>
      <c r="R11" s="19"/>
      <c r="S11" s="19">
        <f t="shared" ref="S11:S22" si="6">(E11*0.07)</f>
        <v>1058.5344788897398</v>
      </c>
      <c r="T11" s="11">
        <f t="shared" si="0"/>
        <v>1058.5344788897398</v>
      </c>
      <c r="U11" s="19">
        <v>3900.2260221547326</v>
      </c>
      <c r="V11" s="21"/>
      <c r="W11" s="22"/>
      <c r="X11" s="22"/>
      <c r="Y11" s="22"/>
      <c r="Z11" s="16">
        <f t="shared" si="1"/>
        <v>6017.2949799342123</v>
      </c>
      <c r="AA11" s="17">
        <f t="shared" si="2"/>
        <v>25359.450748126754</v>
      </c>
    </row>
    <row r="12" spans="2:27" ht="15" customHeight="1" x14ac:dyDescent="0.25">
      <c r="B12" s="7" t="s">
        <v>60</v>
      </c>
      <c r="C12" s="8" t="s">
        <v>29</v>
      </c>
      <c r="D12" s="9">
        <v>8</v>
      </c>
      <c r="E12" s="10">
        <f>12779.3925*1.025</f>
        <v>13098.877312499999</v>
      </c>
      <c r="F12" s="12">
        <v>1100</v>
      </c>
      <c r="G12" s="12">
        <v>1133</v>
      </c>
      <c r="H12" s="12">
        <v>1140</v>
      </c>
      <c r="I12" s="12">
        <v>1000</v>
      </c>
      <c r="J12" s="11">
        <v>1677.2</v>
      </c>
      <c r="K12" s="11">
        <f>662+100</f>
        <v>762</v>
      </c>
      <c r="L12" s="12">
        <f>225</f>
        <v>225</v>
      </c>
      <c r="M12" s="12">
        <v>838</v>
      </c>
      <c r="N12" s="20">
        <f t="shared" si="4"/>
        <v>1746.5169749999998</v>
      </c>
      <c r="O12" s="20">
        <f t="shared" si="5"/>
        <v>5239.5509249999996</v>
      </c>
      <c r="P12" s="14">
        <f t="shared" si="3"/>
        <v>27960.1452125</v>
      </c>
      <c r="Q12" s="19">
        <f t="shared" ref="Q12:Q21" si="7">(E12*0.01)</f>
        <v>130.98877312499999</v>
      </c>
      <c r="R12" s="19">
        <f>1000</f>
        <v>1000</v>
      </c>
      <c r="S12" s="19">
        <f t="shared" si="6"/>
        <v>916.92141187499999</v>
      </c>
      <c r="T12" s="11">
        <f t="shared" si="0"/>
        <v>916.92141187499999</v>
      </c>
      <c r="U12" s="19">
        <v>3286.983848939999</v>
      </c>
      <c r="V12" s="21"/>
      <c r="W12" s="22">
        <v>966.64</v>
      </c>
      <c r="X12" s="22"/>
      <c r="Y12" s="22"/>
      <c r="Z12" s="16">
        <f t="shared" si="1"/>
        <v>7218.4554458149996</v>
      </c>
      <c r="AA12" s="17">
        <f t="shared" si="2"/>
        <v>20741.689766684998</v>
      </c>
    </row>
    <row r="13" spans="2:27" ht="22.5" x14ac:dyDescent="0.25">
      <c r="B13" s="7" t="s">
        <v>60</v>
      </c>
      <c r="C13" s="23" t="s">
        <v>30</v>
      </c>
      <c r="D13" s="24">
        <v>7</v>
      </c>
      <c r="E13" s="10">
        <f>11939.2455*1.025</f>
        <v>12237.7266375</v>
      </c>
      <c r="F13" s="12">
        <v>1100</v>
      </c>
      <c r="G13" s="12">
        <v>1133</v>
      </c>
      <c r="H13" s="12">
        <v>1140</v>
      </c>
      <c r="I13" s="12"/>
      <c r="J13" s="11">
        <v>1565.2</v>
      </c>
      <c r="K13" s="11">
        <f>651+100</f>
        <v>751</v>
      </c>
      <c r="L13" s="19">
        <v>325</v>
      </c>
      <c r="M13" s="19">
        <v>793</v>
      </c>
      <c r="N13" s="20"/>
      <c r="O13" s="20">
        <f t="shared" si="5"/>
        <v>4895.090655</v>
      </c>
      <c r="P13" s="14">
        <f t="shared" si="3"/>
        <v>23940.017292500001</v>
      </c>
      <c r="Q13" s="19">
        <f t="shared" si="7"/>
        <v>122.377266375</v>
      </c>
      <c r="R13" s="19"/>
      <c r="S13" s="19">
        <f t="shared" si="6"/>
        <v>856.64086462500006</v>
      </c>
      <c r="T13" s="11">
        <f t="shared" si="0"/>
        <v>856.64086462500006</v>
      </c>
      <c r="U13" s="19">
        <v>2724.7054861679994</v>
      </c>
      <c r="V13" s="22"/>
      <c r="W13" s="21"/>
      <c r="X13" s="21"/>
      <c r="Y13" s="21"/>
      <c r="Z13" s="16">
        <f t="shared" si="1"/>
        <v>4560.3644817929999</v>
      </c>
      <c r="AA13" s="17">
        <f t="shared" si="2"/>
        <v>19379.652810707001</v>
      </c>
    </row>
    <row r="14" spans="2:27" x14ac:dyDescent="0.25">
      <c r="B14" s="7" t="s">
        <v>60</v>
      </c>
      <c r="C14" s="23" t="s">
        <v>31</v>
      </c>
      <c r="D14" s="24">
        <v>7</v>
      </c>
      <c r="E14" s="10">
        <f>11939.2455*1.025</f>
        <v>12237.7266375</v>
      </c>
      <c r="F14" s="12">
        <v>1100</v>
      </c>
      <c r="G14" s="12">
        <v>1133</v>
      </c>
      <c r="H14" s="12">
        <v>1140</v>
      </c>
      <c r="I14" s="12"/>
      <c r="J14" s="11">
        <v>1565.2</v>
      </c>
      <c r="K14" s="11">
        <f>651+100</f>
        <v>751</v>
      </c>
      <c r="L14" s="19"/>
      <c r="M14" s="19">
        <v>793</v>
      </c>
      <c r="N14" s="20">
        <f t="shared" si="4"/>
        <v>1631.6968850000001</v>
      </c>
      <c r="O14" s="20">
        <f t="shared" si="5"/>
        <v>4895.090655</v>
      </c>
      <c r="P14" s="14">
        <f t="shared" si="3"/>
        <v>25246.714177500002</v>
      </c>
      <c r="Q14" s="19">
        <f t="shared" si="7"/>
        <v>122.377266375</v>
      </c>
      <c r="R14" s="19"/>
      <c r="S14" s="19">
        <f t="shared" si="6"/>
        <v>856.64086462500006</v>
      </c>
      <c r="T14" s="11">
        <f t="shared" si="0"/>
        <v>856.64086462500006</v>
      </c>
      <c r="U14" s="19">
        <v>2840.153039844</v>
      </c>
      <c r="V14" s="21"/>
      <c r="W14" s="21"/>
      <c r="X14" s="21"/>
      <c r="Y14" s="21"/>
      <c r="Z14" s="16">
        <f t="shared" si="1"/>
        <v>4675.812035469</v>
      </c>
      <c r="AA14" s="17">
        <f t="shared" si="2"/>
        <v>20570.902142031002</v>
      </c>
    </row>
    <row r="15" spans="2:27" x14ac:dyDescent="0.25">
      <c r="B15" s="7" t="s">
        <v>60</v>
      </c>
      <c r="C15" s="8" t="s">
        <v>32</v>
      </c>
      <c r="D15" s="9">
        <v>5</v>
      </c>
      <c r="E15" s="10">
        <f>10472.385*1.025</f>
        <v>10734.194625</v>
      </c>
      <c r="F15" s="12">
        <v>1100</v>
      </c>
      <c r="G15" s="12">
        <v>1133</v>
      </c>
      <c r="H15" s="12">
        <v>1140</v>
      </c>
      <c r="I15" s="12"/>
      <c r="J15" s="12">
        <v>1241.8</v>
      </c>
      <c r="K15" s="12">
        <f>632+100</f>
        <v>732</v>
      </c>
      <c r="L15" s="19">
        <f>525</f>
        <v>525</v>
      </c>
      <c r="M15" s="19">
        <v>713</v>
      </c>
      <c r="N15" s="20">
        <f t="shared" ref="N15:N22" si="8">(E15/15)*2</f>
        <v>1431.22595</v>
      </c>
      <c r="O15" s="20">
        <f t="shared" si="5"/>
        <v>4293.67785</v>
      </c>
      <c r="P15" s="14">
        <f t="shared" si="3"/>
        <v>23043.898424999999</v>
      </c>
      <c r="Q15" s="19">
        <f t="shared" si="7"/>
        <v>107.34194625000001</v>
      </c>
      <c r="R15" s="19"/>
      <c r="S15" s="19">
        <f t="shared" si="6"/>
        <v>751.39362375000007</v>
      </c>
      <c r="T15" s="11">
        <f t="shared" si="0"/>
        <v>751.39362375000007</v>
      </c>
      <c r="U15" s="19">
        <v>2469.3354417400001</v>
      </c>
      <c r="V15" s="21">
        <f>2583</f>
        <v>2583</v>
      </c>
      <c r="W15" s="22"/>
      <c r="X15" s="22"/>
      <c r="Y15" s="22"/>
      <c r="Z15" s="16">
        <f t="shared" si="1"/>
        <v>6662.4646354899996</v>
      </c>
      <c r="AA15" s="17">
        <f t="shared" si="2"/>
        <v>16381.43378951</v>
      </c>
    </row>
    <row r="16" spans="2:27" x14ac:dyDescent="0.25">
      <c r="B16" s="7" t="s">
        <v>60</v>
      </c>
      <c r="C16" s="8" t="s">
        <v>33</v>
      </c>
      <c r="D16" s="9">
        <v>5</v>
      </c>
      <c r="E16" s="10">
        <f>10472.385*1.025</f>
        <v>10734.194625</v>
      </c>
      <c r="F16" s="12">
        <v>1100</v>
      </c>
      <c r="G16" s="12">
        <v>1133</v>
      </c>
      <c r="H16" s="12">
        <v>1140</v>
      </c>
      <c r="I16" s="12"/>
      <c r="J16" s="12">
        <v>1241.8</v>
      </c>
      <c r="K16" s="12">
        <f>632+100</f>
        <v>732</v>
      </c>
      <c r="L16" s="12"/>
      <c r="M16" s="19">
        <v>713</v>
      </c>
      <c r="N16" s="20">
        <f t="shared" si="8"/>
        <v>1431.22595</v>
      </c>
      <c r="O16" s="20">
        <f t="shared" si="5"/>
        <v>4293.67785</v>
      </c>
      <c r="P16" s="14">
        <f t="shared" si="3"/>
        <v>22518.898424999999</v>
      </c>
      <c r="Q16" s="19">
        <f t="shared" si="7"/>
        <v>107.34194625000001</v>
      </c>
      <c r="R16" s="19">
        <f>500</f>
        <v>500</v>
      </c>
      <c r="S16" s="19">
        <f t="shared" si="6"/>
        <v>751.39362375000007</v>
      </c>
      <c r="T16" s="11">
        <f t="shared" si="0"/>
        <v>751.39362375000007</v>
      </c>
      <c r="U16" s="19">
        <v>2357.1954417400002</v>
      </c>
      <c r="V16" s="21"/>
      <c r="W16" s="22"/>
      <c r="X16" s="22"/>
      <c r="Y16" s="22"/>
      <c r="Z16" s="16">
        <f t="shared" si="1"/>
        <v>4467.3246354900002</v>
      </c>
      <c r="AA16" s="17">
        <f t="shared" si="2"/>
        <v>18051.573789509999</v>
      </c>
    </row>
    <row r="17" spans="2:28" x14ac:dyDescent="0.25">
      <c r="B17" s="7" t="s">
        <v>60</v>
      </c>
      <c r="C17" s="8" t="s">
        <v>34</v>
      </c>
      <c r="D17" s="9">
        <v>4</v>
      </c>
      <c r="E17" s="10">
        <f>9192.729*1.025</f>
        <v>9422.5472249999984</v>
      </c>
      <c r="F17" s="12">
        <v>1100</v>
      </c>
      <c r="G17" s="12">
        <v>1133</v>
      </c>
      <c r="H17" s="12">
        <v>1140</v>
      </c>
      <c r="I17" s="12"/>
      <c r="J17" s="12">
        <v>845.6</v>
      </c>
      <c r="K17" s="12">
        <f>615+100</f>
        <v>715</v>
      </c>
      <c r="L17" s="12"/>
      <c r="M17" s="19">
        <v>644</v>
      </c>
      <c r="N17" s="20">
        <f t="shared" si="8"/>
        <v>1256.3396299999997</v>
      </c>
      <c r="O17" s="20">
        <f t="shared" si="5"/>
        <v>3769.0188899999994</v>
      </c>
      <c r="P17" s="14">
        <f t="shared" si="3"/>
        <v>20025.505744999999</v>
      </c>
      <c r="Q17" s="19">
        <f t="shared" si="7"/>
        <v>94.225472249999981</v>
      </c>
      <c r="R17" s="19"/>
      <c r="S17" s="19">
        <f t="shared" si="6"/>
        <v>659.57830574999991</v>
      </c>
      <c r="T17" s="11">
        <f t="shared" si="0"/>
        <v>659.57830574999991</v>
      </c>
      <c r="U17" s="19">
        <v>1950.8171611959992</v>
      </c>
      <c r="V17" s="21"/>
      <c r="W17" s="22"/>
      <c r="X17" s="22"/>
      <c r="Y17" s="22"/>
      <c r="Z17" s="16">
        <f t="shared" si="1"/>
        <v>3364.199244945999</v>
      </c>
      <c r="AA17" s="17">
        <f t="shared" si="2"/>
        <v>16661.306500054001</v>
      </c>
    </row>
    <row r="18" spans="2:28" x14ac:dyDescent="0.25">
      <c r="B18" s="7" t="s">
        <v>60</v>
      </c>
      <c r="C18" s="8" t="s">
        <v>35</v>
      </c>
      <c r="D18" s="9">
        <v>4</v>
      </c>
      <c r="E18" s="10">
        <f>9192.729*1.025</f>
        <v>9422.5472249999984</v>
      </c>
      <c r="F18" s="12">
        <v>1100</v>
      </c>
      <c r="G18" s="12">
        <v>1133</v>
      </c>
      <c r="H18" s="12">
        <v>1140</v>
      </c>
      <c r="I18" s="12"/>
      <c r="J18" s="12">
        <v>845.6</v>
      </c>
      <c r="K18" s="12">
        <f>615+100</f>
        <v>715</v>
      </c>
      <c r="L18" s="12"/>
      <c r="M18" s="19">
        <v>644</v>
      </c>
      <c r="N18" s="20">
        <f t="shared" si="8"/>
        <v>1256.3396299999997</v>
      </c>
      <c r="O18" s="20">
        <f t="shared" si="5"/>
        <v>3769.0188899999994</v>
      </c>
      <c r="P18" s="14">
        <f t="shared" si="3"/>
        <v>20025.505744999999</v>
      </c>
      <c r="Q18" s="19">
        <f t="shared" si="7"/>
        <v>94.225472249999981</v>
      </c>
      <c r="R18" s="19">
        <f>500</f>
        <v>500</v>
      </c>
      <c r="S18" s="19">
        <f t="shared" si="6"/>
        <v>659.57830574999991</v>
      </c>
      <c r="T18" s="11">
        <f t="shared" si="0"/>
        <v>659.57830574999991</v>
      </c>
      <c r="U18" s="19">
        <v>1950.8171611959992</v>
      </c>
      <c r="V18" s="21"/>
      <c r="W18" s="22"/>
      <c r="X18" s="22"/>
      <c r="Y18" s="22"/>
      <c r="Z18" s="16">
        <f t="shared" si="1"/>
        <v>3864.199244945999</v>
      </c>
      <c r="AA18" s="17">
        <f t="shared" si="2"/>
        <v>16161.306500053999</v>
      </c>
    </row>
    <row r="19" spans="2:28" x14ac:dyDescent="0.25">
      <c r="B19" s="7" t="s">
        <v>60</v>
      </c>
      <c r="C19" s="8" t="s">
        <v>36</v>
      </c>
      <c r="D19" s="9">
        <v>2</v>
      </c>
      <c r="E19" s="10">
        <f>7675.6365*1.025</f>
        <v>7867.5274124999987</v>
      </c>
      <c r="F19" s="12">
        <v>1100</v>
      </c>
      <c r="G19" s="12">
        <v>1133</v>
      </c>
      <c r="H19" s="12">
        <v>1140</v>
      </c>
      <c r="I19" s="12"/>
      <c r="J19" s="12">
        <v>704.2</v>
      </c>
      <c r="K19" s="12">
        <f>595+100</f>
        <v>695</v>
      </c>
      <c r="L19" s="12">
        <v>150</v>
      </c>
      <c r="M19" s="19">
        <v>561</v>
      </c>
      <c r="N19" s="20">
        <f t="shared" si="8"/>
        <v>1049.0036549999998</v>
      </c>
      <c r="O19" s="20">
        <f t="shared" si="5"/>
        <v>3147.0109649999995</v>
      </c>
      <c r="P19" s="14">
        <f t="shared" si="3"/>
        <v>17546.742032499998</v>
      </c>
      <c r="Q19" s="19">
        <f t="shared" si="7"/>
        <v>78.675274124999987</v>
      </c>
      <c r="R19" s="19">
        <f>1000</f>
        <v>1000</v>
      </c>
      <c r="S19" s="19">
        <f t="shared" si="6"/>
        <v>550.72691887499991</v>
      </c>
      <c r="T19" s="11">
        <f t="shared" si="0"/>
        <v>550.72691887499991</v>
      </c>
      <c r="U19" s="19">
        <v>1536.0290807259998</v>
      </c>
      <c r="V19" s="21"/>
      <c r="W19" s="22"/>
      <c r="X19" s="22"/>
      <c r="Y19" s="22"/>
      <c r="Z19" s="16">
        <f t="shared" si="1"/>
        <v>3716.1581926009994</v>
      </c>
      <c r="AA19" s="17">
        <f t="shared" si="2"/>
        <v>13830.583839898998</v>
      </c>
    </row>
    <row r="20" spans="2:28" x14ac:dyDescent="0.25">
      <c r="B20" s="7" t="s">
        <v>60</v>
      </c>
      <c r="C20" s="8" t="s">
        <v>37</v>
      </c>
      <c r="D20" s="9">
        <v>2</v>
      </c>
      <c r="E20" s="10">
        <f>7675.6365*1.025</f>
        <v>7867.5274124999987</v>
      </c>
      <c r="F20" s="12">
        <v>1100</v>
      </c>
      <c r="G20" s="12">
        <v>1133</v>
      </c>
      <c r="H20" s="12">
        <v>1140</v>
      </c>
      <c r="I20" s="12"/>
      <c r="J20" s="12">
        <v>704.2</v>
      </c>
      <c r="K20" s="12">
        <f>595+100</f>
        <v>695</v>
      </c>
      <c r="L20" s="12"/>
      <c r="M20" s="19">
        <v>561</v>
      </c>
      <c r="N20" s="20">
        <f t="shared" si="8"/>
        <v>1049.0036549999998</v>
      </c>
      <c r="O20" s="20">
        <f t="shared" si="5"/>
        <v>3147.0109649999995</v>
      </c>
      <c r="P20" s="14">
        <f t="shared" si="3"/>
        <v>17396.742032499998</v>
      </c>
      <c r="Q20" s="19">
        <f t="shared" si="7"/>
        <v>78.675274124999987</v>
      </c>
      <c r="R20" s="19">
        <f>500</f>
        <v>500</v>
      </c>
      <c r="S20" s="19">
        <f t="shared" si="6"/>
        <v>550.72691887499991</v>
      </c>
      <c r="T20" s="11">
        <f t="shared" si="0"/>
        <v>550.72691887499991</v>
      </c>
      <c r="U20" s="19">
        <v>1503.9890807259999</v>
      </c>
      <c r="V20" s="21"/>
      <c r="W20" s="22">
        <v>966.64</v>
      </c>
      <c r="X20" s="22">
        <v>1933.28</v>
      </c>
      <c r="Y20" s="22">
        <v>1325</v>
      </c>
      <c r="Z20" s="16">
        <f t="shared" si="1"/>
        <v>7409.0381926009995</v>
      </c>
      <c r="AA20" s="17">
        <f t="shared" si="2"/>
        <v>9987.7038398989989</v>
      </c>
    </row>
    <row r="21" spans="2:28" ht="22.5" x14ac:dyDescent="0.25">
      <c r="B21" s="7" t="s">
        <v>60</v>
      </c>
      <c r="C21" s="8" t="s">
        <v>38</v>
      </c>
      <c r="D21" s="9"/>
      <c r="E21" s="10">
        <f>7204.1865*1.025</f>
        <v>7384.2911624999988</v>
      </c>
      <c r="F21" s="12">
        <v>1100</v>
      </c>
      <c r="G21" s="12">
        <v>1133</v>
      </c>
      <c r="H21" s="12">
        <v>1140</v>
      </c>
      <c r="I21" s="12"/>
      <c r="J21" s="12">
        <v>658</v>
      </c>
      <c r="K21" s="12">
        <f>589+100</f>
        <v>689</v>
      </c>
      <c r="L21" s="12">
        <v>150</v>
      </c>
      <c r="M21" s="19">
        <v>536</v>
      </c>
      <c r="N21" s="20">
        <f t="shared" si="8"/>
        <v>984.57215499999984</v>
      </c>
      <c r="O21" s="20">
        <f t="shared" si="5"/>
        <v>2953.7164649999995</v>
      </c>
      <c r="P21" s="14">
        <f t="shared" si="3"/>
        <v>16728.579782499997</v>
      </c>
      <c r="Q21" s="19">
        <f t="shared" si="7"/>
        <v>73.842911624999985</v>
      </c>
      <c r="R21" s="19">
        <f>500</f>
        <v>500</v>
      </c>
      <c r="S21" s="19">
        <f t="shared" si="6"/>
        <v>516.90038137499994</v>
      </c>
      <c r="T21" s="11">
        <f t="shared" si="0"/>
        <v>516.90038137499994</v>
      </c>
      <c r="U21" s="19">
        <v>1397.0397209259995</v>
      </c>
      <c r="V21" s="21"/>
      <c r="W21" s="22"/>
      <c r="X21" s="22"/>
      <c r="Y21" s="22"/>
      <c r="Z21" s="16">
        <f t="shared" si="1"/>
        <v>3004.6833953009996</v>
      </c>
      <c r="AA21" s="17">
        <f t="shared" si="2"/>
        <v>13723.896387198998</v>
      </c>
    </row>
    <row r="22" spans="2:28" ht="22.5" x14ac:dyDescent="0.25">
      <c r="B22" s="7" t="s">
        <v>60</v>
      </c>
      <c r="C22" s="8" t="s">
        <v>39</v>
      </c>
      <c r="D22" s="9">
        <v>1</v>
      </c>
      <c r="E22" s="10">
        <f>7204.1865*1.025</f>
        <v>7384.2911624999988</v>
      </c>
      <c r="F22" s="12">
        <v>1100</v>
      </c>
      <c r="G22" s="12">
        <v>1133</v>
      </c>
      <c r="H22" s="12">
        <v>1140</v>
      </c>
      <c r="I22" s="12"/>
      <c r="J22" s="12">
        <v>658</v>
      </c>
      <c r="K22" s="12">
        <f>589+100</f>
        <v>689</v>
      </c>
      <c r="L22" s="12"/>
      <c r="M22" s="19">
        <v>536</v>
      </c>
      <c r="N22" s="20">
        <f t="shared" si="8"/>
        <v>984.57215499999984</v>
      </c>
      <c r="O22" s="20">
        <f t="shared" si="5"/>
        <v>2953.7164649999995</v>
      </c>
      <c r="P22" s="14">
        <f t="shared" si="3"/>
        <v>16578.579782499997</v>
      </c>
      <c r="Q22" s="19"/>
      <c r="R22" s="19"/>
      <c r="S22" s="19">
        <f t="shared" si="6"/>
        <v>516.90038137499994</v>
      </c>
      <c r="T22" s="11">
        <f t="shared" si="0"/>
        <v>516.90038137499994</v>
      </c>
      <c r="U22" s="19">
        <v>1364.9997209259996</v>
      </c>
      <c r="V22" s="21"/>
      <c r="W22" s="22"/>
      <c r="X22" s="22"/>
      <c r="Y22" s="22"/>
      <c r="Z22" s="16">
        <f t="shared" si="1"/>
        <v>2398.8004836759992</v>
      </c>
      <c r="AA22" s="17">
        <f t="shared" si="2"/>
        <v>14179.779298823998</v>
      </c>
    </row>
    <row r="23" spans="2:28" ht="22.5" x14ac:dyDescent="0.25">
      <c r="B23" s="7" t="s">
        <v>61</v>
      </c>
      <c r="C23" s="8" t="s">
        <v>40</v>
      </c>
      <c r="D23" s="9"/>
      <c r="E23" s="10">
        <f>6069.96</f>
        <v>6069.96</v>
      </c>
      <c r="F23" s="25"/>
      <c r="G23" s="25"/>
      <c r="H23" s="25"/>
      <c r="I23" s="25"/>
      <c r="J23" s="26"/>
      <c r="K23" s="26"/>
      <c r="L23" s="25"/>
      <c r="M23" s="26"/>
      <c r="N23" s="27"/>
      <c r="O23" s="27"/>
      <c r="P23" s="14">
        <f t="shared" si="3"/>
        <v>6069.96</v>
      </c>
      <c r="Q23" s="19"/>
      <c r="R23" s="26"/>
      <c r="S23" s="26"/>
      <c r="T23" s="11"/>
      <c r="U23" s="19">
        <v>527.76699999999994</v>
      </c>
      <c r="V23" s="21"/>
      <c r="W23" s="22"/>
      <c r="X23" s="22"/>
      <c r="Y23" s="22"/>
      <c r="Z23" s="16">
        <f t="shared" si="1"/>
        <v>527.76699999999994</v>
      </c>
      <c r="AA23" s="17">
        <f t="shared" si="2"/>
        <v>5542.1930000000002</v>
      </c>
    </row>
    <row r="24" spans="2:28" x14ac:dyDescent="0.25">
      <c r="B24" s="7" t="s">
        <v>61</v>
      </c>
      <c r="C24" s="23" t="s">
        <v>41</v>
      </c>
      <c r="D24" s="29"/>
      <c r="E24" s="30">
        <f>3018.5</f>
        <v>3018.5</v>
      </c>
      <c r="F24" s="25"/>
      <c r="G24" s="25"/>
      <c r="H24" s="25"/>
      <c r="I24" s="25"/>
      <c r="J24" s="26"/>
      <c r="K24" s="26"/>
      <c r="L24" s="25"/>
      <c r="M24" s="26"/>
      <c r="N24" s="26"/>
      <c r="O24" s="27"/>
      <c r="P24" s="14">
        <f t="shared" si="3"/>
        <v>3018.5</v>
      </c>
      <c r="Q24" s="19"/>
      <c r="R24" s="26"/>
      <c r="S24" s="26"/>
      <c r="T24" s="11"/>
      <c r="U24" s="19">
        <v>176.47039999999998</v>
      </c>
      <c r="V24" s="21"/>
      <c r="W24" s="22"/>
      <c r="X24" s="22"/>
      <c r="Y24" s="22"/>
      <c r="Z24" s="16">
        <f t="shared" si="1"/>
        <v>176.47039999999998</v>
      </c>
      <c r="AA24" s="17">
        <f t="shared" si="2"/>
        <v>2842.0295999999998</v>
      </c>
    </row>
    <row r="25" spans="2:28" ht="15.75" thickBot="1" x14ac:dyDescent="0.3">
      <c r="B25" s="31" t="s">
        <v>42</v>
      </c>
      <c r="C25" s="32"/>
      <c r="D25" s="33"/>
      <c r="E25" s="34">
        <f t="shared" ref="E25:AA25" si="9">SUM(E4:E24)</f>
        <v>238122.87256449627</v>
      </c>
      <c r="F25" s="34">
        <f t="shared" si="9"/>
        <v>17400</v>
      </c>
      <c r="G25" s="34">
        <f t="shared" si="9"/>
        <v>17196</v>
      </c>
      <c r="H25" s="34">
        <f t="shared" si="9"/>
        <v>17280</v>
      </c>
      <c r="I25" s="34">
        <f t="shared" si="9"/>
        <v>12200</v>
      </c>
      <c r="J25" s="34">
        <f t="shared" si="9"/>
        <v>25470.2</v>
      </c>
      <c r="K25" s="34">
        <f t="shared" si="9"/>
        <v>11587</v>
      </c>
      <c r="L25" s="34">
        <f t="shared" si="9"/>
        <v>1375</v>
      </c>
      <c r="M25" s="34">
        <f t="shared" si="9"/>
        <v>8277</v>
      </c>
      <c r="N25" s="34">
        <f t="shared" si="9"/>
        <v>22356.663456932838</v>
      </c>
      <c r="O25" s="34">
        <f t="shared" si="9"/>
        <v>71965.081025798529</v>
      </c>
      <c r="P25" s="34">
        <f t="shared" si="9"/>
        <v>443229.81704722758</v>
      </c>
      <c r="Q25" s="34">
        <f t="shared" si="9"/>
        <v>1010.0716027499998</v>
      </c>
      <c r="R25" s="34">
        <f t="shared" si="9"/>
        <v>4000</v>
      </c>
      <c r="S25" s="34">
        <f t="shared" si="9"/>
        <v>8645.9360795147404</v>
      </c>
      <c r="T25" s="34">
        <f t="shared" si="9"/>
        <v>16032.408879514742</v>
      </c>
      <c r="U25" s="34">
        <f t="shared" si="9"/>
        <v>51150.393527882719</v>
      </c>
      <c r="V25" s="34">
        <f t="shared" si="9"/>
        <v>2583</v>
      </c>
      <c r="W25" s="34">
        <f t="shared" si="9"/>
        <v>1933.28</v>
      </c>
      <c r="X25" s="34">
        <f t="shared" si="9"/>
        <v>1933.28</v>
      </c>
      <c r="Y25" s="34">
        <f t="shared" si="9"/>
        <v>1325</v>
      </c>
      <c r="Z25" s="34">
        <f t="shared" si="9"/>
        <v>88613.370089662218</v>
      </c>
      <c r="AA25" s="34">
        <f t="shared" si="9"/>
        <v>354616.44695756544</v>
      </c>
      <c r="AB25" s="18"/>
    </row>
    <row r="26" spans="2:28" x14ac:dyDescent="0.25"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9" spans="2:28" x14ac:dyDescent="0.25">
      <c r="B29" t="s">
        <v>58</v>
      </c>
      <c r="C29" t="s">
        <v>54</v>
      </c>
    </row>
    <row r="30" spans="2:28" x14ac:dyDescent="0.25">
      <c r="B30" t="s">
        <v>59</v>
      </c>
      <c r="C30" t="s">
        <v>55</v>
      </c>
    </row>
    <row r="31" spans="2:28" x14ac:dyDescent="0.25">
      <c r="B31" t="s">
        <v>60</v>
      </c>
      <c r="C31" t="s">
        <v>62</v>
      </c>
    </row>
    <row r="32" spans="2:28" x14ac:dyDescent="0.25">
      <c r="B32" t="s">
        <v>61</v>
      </c>
      <c r="C3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workbookViewId="0">
      <selection activeCell="AB26" sqref="AB26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3" width="8.7109375" customWidth="1"/>
    <col min="14" max="14" width="12.5703125" bestFit="1" customWidth="1"/>
    <col min="15" max="15" width="7.42578125" customWidth="1"/>
    <col min="16" max="17" width="8.7109375" bestFit="1" customWidth="1"/>
    <col min="18" max="18" width="9" customWidth="1"/>
    <col min="19" max="19" width="9.5703125" customWidth="1"/>
    <col min="20" max="20" width="7.85546875" customWidth="1"/>
    <col min="21" max="23" width="10.140625" customWidth="1"/>
    <col min="24" max="24" width="9.5703125" customWidth="1"/>
    <col min="25" max="25" width="12.5703125" bestFit="1" customWidth="1"/>
    <col min="26" max="26" width="14.140625" bestFit="1" customWidth="1"/>
  </cols>
  <sheetData>
    <row r="1" spans="2:25" ht="19.5" thickBot="1" x14ac:dyDescent="0.3">
      <c r="E1" s="1"/>
      <c r="F1" s="2" t="s">
        <v>69</v>
      </c>
      <c r="G1" s="2"/>
      <c r="H1" s="2"/>
      <c r="I1" s="2"/>
      <c r="J1" s="2"/>
      <c r="K1" s="2"/>
      <c r="L1" s="2"/>
      <c r="M1" s="2"/>
      <c r="N1" s="2"/>
      <c r="O1" s="2"/>
    </row>
    <row r="2" spans="2:25" ht="48.75" customHeight="1" x14ac:dyDescent="0.25">
      <c r="B2" s="40"/>
      <c r="C2" s="40"/>
      <c r="D2" s="3" t="s">
        <v>1</v>
      </c>
      <c r="E2" s="44" t="s">
        <v>2</v>
      </c>
      <c r="F2" s="45" t="s">
        <v>43</v>
      </c>
      <c r="G2" s="45" t="s">
        <v>44</v>
      </c>
      <c r="H2" s="45" t="s">
        <v>45</v>
      </c>
      <c r="I2" s="45" t="s">
        <v>46</v>
      </c>
      <c r="J2" s="45" t="s">
        <v>47</v>
      </c>
      <c r="K2" s="45" t="s">
        <v>48</v>
      </c>
      <c r="L2" s="45" t="s">
        <v>9</v>
      </c>
      <c r="M2" s="45" t="s">
        <v>49</v>
      </c>
      <c r="N2" s="41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5" t="s">
        <v>18</v>
      </c>
      <c r="U2" s="42" t="s">
        <v>0</v>
      </c>
      <c r="V2" s="42" t="s">
        <v>52</v>
      </c>
      <c r="W2" s="42" t="s">
        <v>91</v>
      </c>
      <c r="X2" s="42"/>
      <c r="Y2" s="43"/>
    </row>
    <row r="3" spans="2:25" x14ac:dyDescent="0.25">
      <c r="B3" s="7" t="s">
        <v>58</v>
      </c>
      <c r="C3" s="8" t="s">
        <v>21</v>
      </c>
      <c r="D3" s="9">
        <v>17</v>
      </c>
      <c r="E3" s="10">
        <f>38573.38/2</f>
        <v>19286.689999999999</v>
      </c>
      <c r="F3" s="12"/>
      <c r="G3" s="11">
        <v>300</v>
      </c>
      <c r="H3" s="12"/>
      <c r="I3" s="11"/>
      <c r="J3" s="11"/>
      <c r="K3" s="11"/>
      <c r="L3" s="11"/>
      <c r="M3" s="11"/>
      <c r="N3" s="14">
        <f t="shared" ref="N3:N23" si="0">SUM(E3:M3)</f>
        <v>19586.689999999999</v>
      </c>
      <c r="O3" s="11"/>
      <c r="P3" s="11"/>
      <c r="Q3" s="11"/>
      <c r="R3" s="11">
        <f t="shared" ref="R3:R21" si="1">(E3*0.07)</f>
        <v>1350.0683000000001</v>
      </c>
      <c r="S3" s="11">
        <v>3400.1570879999995</v>
      </c>
      <c r="T3" s="15"/>
      <c r="U3" s="16"/>
      <c r="V3" s="16"/>
      <c r="W3" s="16"/>
      <c r="X3" s="16">
        <f t="shared" ref="X3:X23" si="2">SUM(O3:W3)</f>
        <v>4750.2253879999998</v>
      </c>
      <c r="Y3" s="17">
        <f t="shared" ref="Y3:Y23" si="3">+N3-X3</f>
        <v>14836.464612</v>
      </c>
    </row>
    <row r="4" spans="2:25" x14ac:dyDescent="0.25">
      <c r="B4" s="7" t="s">
        <v>58</v>
      </c>
      <c r="C4" s="8" t="s">
        <v>22</v>
      </c>
      <c r="D4" s="9">
        <v>14</v>
      </c>
      <c r="E4" s="10">
        <f>14917.51</f>
        <v>14917.51</v>
      </c>
      <c r="F4" s="12"/>
      <c r="G4" s="19">
        <v>300</v>
      </c>
      <c r="H4" s="12"/>
      <c r="I4" s="19"/>
      <c r="J4" s="19"/>
      <c r="K4" s="19"/>
      <c r="L4" s="19"/>
      <c r="M4" s="19"/>
      <c r="N4" s="14">
        <f t="shared" si="0"/>
        <v>15217.51</v>
      </c>
      <c r="O4" s="19"/>
      <c r="P4" s="19"/>
      <c r="Q4" s="19"/>
      <c r="R4" s="11">
        <f t="shared" si="1"/>
        <v>1044.2257000000002</v>
      </c>
      <c r="S4" s="19">
        <v>2384.42164</v>
      </c>
      <c r="T4" s="21"/>
      <c r="U4" s="22"/>
      <c r="V4" s="22"/>
      <c r="W4" s="22"/>
      <c r="X4" s="16">
        <f t="shared" si="2"/>
        <v>3428.6473400000004</v>
      </c>
      <c r="Y4" s="17">
        <f t="shared" si="3"/>
        <v>11788.862659999999</v>
      </c>
    </row>
    <row r="5" spans="2:25" x14ac:dyDescent="0.25">
      <c r="B5" s="7" t="s">
        <v>58</v>
      </c>
      <c r="C5" s="8" t="s">
        <v>23</v>
      </c>
      <c r="D5" s="9">
        <v>14</v>
      </c>
      <c r="E5" s="10">
        <f>14917.51</f>
        <v>14917.51</v>
      </c>
      <c r="F5" s="12"/>
      <c r="G5" s="19">
        <v>300</v>
      </c>
      <c r="H5" s="12"/>
      <c r="I5" s="19"/>
      <c r="J5" s="19"/>
      <c r="K5" s="19"/>
      <c r="L5" s="19"/>
      <c r="M5" s="19"/>
      <c r="N5" s="14">
        <f t="shared" si="0"/>
        <v>15217.51</v>
      </c>
      <c r="O5" s="19"/>
      <c r="P5" s="19"/>
      <c r="Q5" s="19"/>
      <c r="R5" s="11">
        <f t="shared" si="1"/>
        <v>1044.2257000000002</v>
      </c>
      <c r="S5" s="19">
        <v>2384.42164</v>
      </c>
      <c r="T5" s="21"/>
      <c r="U5" s="22"/>
      <c r="V5" s="22"/>
      <c r="W5" s="22"/>
      <c r="X5" s="16">
        <f t="shared" si="2"/>
        <v>3428.6473400000004</v>
      </c>
      <c r="Y5" s="17">
        <f t="shared" si="3"/>
        <v>11788.862659999999</v>
      </c>
    </row>
    <row r="6" spans="2:25" x14ac:dyDescent="0.25">
      <c r="B6" s="7" t="s">
        <v>59</v>
      </c>
      <c r="C6" s="8" t="s">
        <v>24</v>
      </c>
      <c r="D6" s="9">
        <v>13</v>
      </c>
      <c r="E6" s="10">
        <f>15022.1</f>
        <v>15022.1</v>
      </c>
      <c r="F6" s="37">
        <v>900</v>
      </c>
      <c r="G6" s="37">
        <v>900</v>
      </c>
      <c r="H6" s="37">
        <v>900</v>
      </c>
      <c r="I6" s="12">
        <v>1000</v>
      </c>
      <c r="J6" s="19"/>
      <c r="K6" s="19">
        <v>750</v>
      </c>
      <c r="L6" s="12"/>
      <c r="M6" s="19"/>
      <c r="N6" s="14">
        <f t="shared" si="0"/>
        <v>19472.099999999999</v>
      </c>
      <c r="O6" s="19"/>
      <c r="P6" s="19"/>
      <c r="Q6" s="19"/>
      <c r="R6" s="11">
        <f t="shared" si="1"/>
        <v>1051.547</v>
      </c>
      <c r="S6" s="19">
        <v>2779.3255199999994</v>
      </c>
      <c r="T6" s="21"/>
      <c r="U6" s="22"/>
      <c r="V6" s="22"/>
      <c r="W6" s="22"/>
      <c r="X6" s="16">
        <f t="shared" si="2"/>
        <v>3830.8725199999994</v>
      </c>
      <c r="Y6" s="17">
        <f t="shared" si="3"/>
        <v>15641.22748</v>
      </c>
    </row>
    <row r="7" spans="2:25" ht="15" customHeight="1" x14ac:dyDescent="0.25">
      <c r="B7" s="7" t="s">
        <v>59</v>
      </c>
      <c r="C7" s="8" t="s">
        <v>25</v>
      </c>
      <c r="D7" s="9">
        <v>13</v>
      </c>
      <c r="E7" s="10">
        <f>15022.1</f>
        <v>15022.1</v>
      </c>
      <c r="F7" s="37">
        <v>900</v>
      </c>
      <c r="G7" s="37">
        <v>900</v>
      </c>
      <c r="H7" s="37">
        <v>900</v>
      </c>
      <c r="I7" s="12">
        <v>1000</v>
      </c>
      <c r="J7" s="19"/>
      <c r="K7" s="19">
        <v>750</v>
      </c>
      <c r="L7" s="12"/>
      <c r="M7" s="19"/>
      <c r="N7" s="14">
        <f t="shared" si="0"/>
        <v>19472.099999999999</v>
      </c>
      <c r="O7" s="19"/>
      <c r="P7" s="19"/>
      <c r="Q7" s="19"/>
      <c r="R7" s="11">
        <f t="shared" si="1"/>
        <v>1051.547</v>
      </c>
      <c r="S7" s="19">
        <v>2779.3255199999994</v>
      </c>
      <c r="T7" s="21"/>
      <c r="U7" s="22"/>
      <c r="V7" s="22"/>
      <c r="W7" s="22"/>
      <c r="X7" s="16">
        <f t="shared" si="2"/>
        <v>3830.8725199999994</v>
      </c>
      <c r="Y7" s="17">
        <f t="shared" si="3"/>
        <v>15641.22748</v>
      </c>
    </row>
    <row r="8" spans="2:25" ht="15" customHeight="1" x14ac:dyDescent="0.25">
      <c r="B8" s="7" t="s">
        <v>59</v>
      </c>
      <c r="C8" s="8" t="s">
        <v>26</v>
      </c>
      <c r="D8" s="9">
        <v>13</v>
      </c>
      <c r="E8" s="10">
        <f>15022.1</f>
        <v>15022.1</v>
      </c>
      <c r="F8" s="37">
        <v>900</v>
      </c>
      <c r="G8" s="37">
        <v>900</v>
      </c>
      <c r="H8" s="37">
        <v>900</v>
      </c>
      <c r="I8" s="12">
        <v>1000</v>
      </c>
      <c r="J8" s="19"/>
      <c r="K8" s="19">
        <v>750</v>
      </c>
      <c r="L8" s="12"/>
      <c r="M8" s="19"/>
      <c r="N8" s="14">
        <f t="shared" si="0"/>
        <v>19472.099999999999</v>
      </c>
      <c r="O8" s="19"/>
      <c r="P8" s="19"/>
      <c r="Q8" s="19"/>
      <c r="R8" s="11">
        <f t="shared" si="1"/>
        <v>1051.547</v>
      </c>
      <c r="S8" s="19">
        <v>2779.3255199999994</v>
      </c>
      <c r="T8" s="21"/>
      <c r="U8" s="22"/>
      <c r="V8" s="22"/>
      <c r="W8" s="22"/>
      <c r="X8" s="16">
        <f t="shared" si="2"/>
        <v>3830.8725199999994</v>
      </c>
      <c r="Y8" s="17">
        <f t="shared" si="3"/>
        <v>15641.22748</v>
      </c>
    </row>
    <row r="9" spans="2:25" ht="15" customHeight="1" x14ac:dyDescent="0.25">
      <c r="B9" s="7" t="s">
        <v>59</v>
      </c>
      <c r="C9" s="8" t="s">
        <v>27</v>
      </c>
      <c r="D9" s="9">
        <v>9</v>
      </c>
      <c r="E9" s="10">
        <f>11333.03</f>
        <v>11333.03</v>
      </c>
      <c r="F9" s="37">
        <v>900</v>
      </c>
      <c r="G9" s="37">
        <v>900</v>
      </c>
      <c r="H9" s="37">
        <v>900</v>
      </c>
      <c r="I9" s="12">
        <v>1000</v>
      </c>
      <c r="J9" s="19"/>
      <c r="K9" s="19">
        <v>566</v>
      </c>
      <c r="L9" s="12"/>
      <c r="M9" s="19"/>
      <c r="N9" s="14">
        <f t="shared" si="0"/>
        <v>15599.03</v>
      </c>
      <c r="O9" s="19"/>
      <c r="P9" s="19"/>
      <c r="Q9" s="19"/>
      <c r="R9" s="11">
        <f t="shared" si="1"/>
        <v>793.3121000000001</v>
      </c>
      <c r="S9" s="19">
        <v>1946.2255120000004</v>
      </c>
      <c r="T9" s="21"/>
      <c r="U9" s="22"/>
      <c r="V9" s="22"/>
      <c r="W9" s="22"/>
      <c r="X9" s="16">
        <f t="shared" si="2"/>
        <v>2739.5376120000005</v>
      </c>
      <c r="Y9" s="17">
        <f t="shared" si="3"/>
        <v>12859.492388000001</v>
      </c>
    </row>
    <row r="10" spans="2:25" ht="15" customHeight="1" x14ac:dyDescent="0.25">
      <c r="B10" s="7" t="s">
        <v>60</v>
      </c>
      <c r="C10" s="8" t="s">
        <v>28</v>
      </c>
      <c r="D10" s="9">
        <v>10</v>
      </c>
      <c r="E10" s="10">
        <f>14753.0937824354*1.025</f>
        <v>15121.921126996283</v>
      </c>
      <c r="F10" s="12">
        <v>1133</v>
      </c>
      <c r="G10" s="12">
        <v>1133</v>
      </c>
      <c r="H10" s="12">
        <v>1133</v>
      </c>
      <c r="I10" s="12">
        <v>1000</v>
      </c>
      <c r="J10" s="19"/>
      <c r="K10" s="19">
        <v>606</v>
      </c>
      <c r="L10" s="12"/>
      <c r="M10" s="19">
        <v>999</v>
      </c>
      <c r="N10" s="14">
        <f t="shared" si="0"/>
        <v>21125.921126996283</v>
      </c>
      <c r="O10" s="19"/>
      <c r="P10" s="19"/>
      <c r="Q10" s="19">
        <f t="shared" ref="Q10:Q21" si="4">(E10*0.07)</f>
        <v>1058.5344788897398</v>
      </c>
      <c r="R10" s="11">
        <f t="shared" si="1"/>
        <v>1058.5344788897398</v>
      </c>
      <c r="S10" s="19">
        <v>2958.1530490695259</v>
      </c>
      <c r="T10" s="21"/>
      <c r="U10" s="22"/>
      <c r="V10" s="22"/>
      <c r="W10" s="22"/>
      <c r="X10" s="16">
        <f t="shared" si="2"/>
        <v>5075.222006849006</v>
      </c>
      <c r="Y10" s="17">
        <f t="shared" si="3"/>
        <v>16050.699120147277</v>
      </c>
    </row>
    <row r="11" spans="2:25" ht="15" customHeight="1" x14ac:dyDescent="0.25">
      <c r="B11" s="7" t="s">
        <v>60</v>
      </c>
      <c r="C11" s="8" t="s">
        <v>29</v>
      </c>
      <c r="D11" s="9">
        <v>8</v>
      </c>
      <c r="E11" s="10">
        <f>12779.3925*1.025</f>
        <v>13098.877312499999</v>
      </c>
      <c r="F11" s="12">
        <v>1133</v>
      </c>
      <c r="G11" s="12">
        <v>1133</v>
      </c>
      <c r="H11" s="12">
        <v>1133</v>
      </c>
      <c r="I11" s="12">
        <v>1000</v>
      </c>
      <c r="J11" s="11"/>
      <c r="K11" s="19">
        <v>525</v>
      </c>
      <c r="L11" s="12">
        <f>225</f>
        <v>225</v>
      </c>
      <c r="M11" s="12">
        <v>925</v>
      </c>
      <c r="N11" s="14">
        <f t="shared" si="0"/>
        <v>19172.877312500001</v>
      </c>
      <c r="O11" s="19">
        <f t="shared" ref="O11:O20" si="5">(E11*0.01)</f>
        <v>130.98877312499999</v>
      </c>
      <c r="P11" s="19">
        <f>1000</f>
        <v>1000</v>
      </c>
      <c r="Q11" s="19">
        <f t="shared" si="4"/>
        <v>916.92141187499999</v>
      </c>
      <c r="R11" s="11">
        <f t="shared" si="1"/>
        <v>916.92141187499999</v>
      </c>
      <c r="S11" s="19">
        <v>2517.0251438999999</v>
      </c>
      <c r="T11" s="21"/>
      <c r="U11" s="22">
        <v>966.64</v>
      </c>
      <c r="V11" s="22"/>
      <c r="W11" s="22"/>
      <c r="X11" s="16">
        <f t="shared" si="2"/>
        <v>6448.496740775</v>
      </c>
      <c r="Y11" s="17">
        <f t="shared" si="3"/>
        <v>12724.380571725</v>
      </c>
    </row>
    <row r="12" spans="2:25" ht="22.5" x14ac:dyDescent="0.25">
      <c r="B12" s="7" t="s">
        <v>60</v>
      </c>
      <c r="C12" s="23" t="s">
        <v>30</v>
      </c>
      <c r="D12" s="24">
        <v>7</v>
      </c>
      <c r="E12" s="10">
        <f>11939.2455*1.025</f>
        <v>12237.7266375</v>
      </c>
      <c r="F12" s="12">
        <v>1133</v>
      </c>
      <c r="G12" s="12">
        <v>1133</v>
      </c>
      <c r="H12" s="12">
        <v>1133</v>
      </c>
      <c r="I12" s="12">
        <v>1000</v>
      </c>
      <c r="J12" s="11">
        <v>295</v>
      </c>
      <c r="K12" s="19">
        <v>491</v>
      </c>
      <c r="L12" s="19">
        <v>325</v>
      </c>
      <c r="M12" s="19">
        <v>893</v>
      </c>
      <c r="N12" s="14">
        <f t="shared" si="0"/>
        <v>18640.7266375</v>
      </c>
      <c r="O12" s="19">
        <f t="shared" si="5"/>
        <v>122.377266375</v>
      </c>
      <c r="P12" s="19"/>
      <c r="Q12" s="19">
        <f t="shared" si="4"/>
        <v>856.64086462500006</v>
      </c>
      <c r="R12" s="11">
        <f t="shared" si="1"/>
        <v>856.64086462500006</v>
      </c>
      <c r="S12" s="19">
        <v>2377.52591377</v>
      </c>
      <c r="T12" s="22"/>
      <c r="U12" s="21"/>
      <c r="V12" s="21"/>
      <c r="W12" s="21"/>
      <c r="X12" s="16">
        <f t="shared" si="2"/>
        <v>4213.1849093950004</v>
      </c>
      <c r="Y12" s="17">
        <f t="shared" si="3"/>
        <v>14427.541728104999</v>
      </c>
    </row>
    <row r="13" spans="2:25" x14ac:dyDescent="0.25">
      <c r="B13" s="7" t="s">
        <v>60</v>
      </c>
      <c r="C13" s="23" t="s">
        <v>31</v>
      </c>
      <c r="D13" s="24">
        <v>7</v>
      </c>
      <c r="E13" s="10">
        <f>11939.2455*1.025</f>
        <v>12237.7266375</v>
      </c>
      <c r="F13" s="12">
        <v>1133</v>
      </c>
      <c r="G13" s="12">
        <v>1133</v>
      </c>
      <c r="H13" s="12">
        <v>1133</v>
      </c>
      <c r="I13" s="12">
        <v>1000</v>
      </c>
      <c r="J13" s="11">
        <v>295</v>
      </c>
      <c r="K13" s="19">
        <v>491</v>
      </c>
      <c r="L13" s="19"/>
      <c r="M13" s="19">
        <v>893</v>
      </c>
      <c r="N13" s="14">
        <f t="shared" si="0"/>
        <v>18315.7266375</v>
      </c>
      <c r="O13" s="19">
        <f t="shared" si="5"/>
        <v>122.377266375</v>
      </c>
      <c r="P13" s="19"/>
      <c r="Q13" s="19">
        <f t="shared" si="4"/>
        <v>856.64086462500006</v>
      </c>
      <c r="R13" s="11">
        <f t="shared" si="1"/>
        <v>856.64086462500006</v>
      </c>
      <c r="S13" s="19">
        <v>2308.1059137700004</v>
      </c>
      <c r="T13" s="21"/>
      <c r="U13" s="21"/>
      <c r="V13" s="21"/>
      <c r="W13" s="21"/>
      <c r="X13" s="16">
        <f t="shared" si="2"/>
        <v>4143.7649093950004</v>
      </c>
      <c r="Y13" s="17">
        <f t="shared" si="3"/>
        <v>14171.961728105</v>
      </c>
    </row>
    <row r="14" spans="2:25" x14ac:dyDescent="0.25">
      <c r="B14" s="7" t="s">
        <v>60</v>
      </c>
      <c r="C14" s="8" t="s">
        <v>32</v>
      </c>
      <c r="D14" s="9">
        <v>5</v>
      </c>
      <c r="E14" s="10">
        <f>10472.385*1.025</f>
        <v>10734.194625</v>
      </c>
      <c r="F14" s="12">
        <v>1133</v>
      </c>
      <c r="G14" s="12">
        <v>1133</v>
      </c>
      <c r="H14" s="12">
        <v>1133</v>
      </c>
      <c r="I14" s="12">
        <v>1000</v>
      </c>
      <c r="J14" s="12">
        <v>260</v>
      </c>
      <c r="K14" s="19"/>
      <c r="L14" s="19">
        <f>525</f>
        <v>525</v>
      </c>
      <c r="M14" s="19">
        <v>838</v>
      </c>
      <c r="N14" s="14">
        <f t="shared" si="0"/>
        <v>16756.194625</v>
      </c>
      <c r="O14" s="19">
        <f t="shared" si="5"/>
        <v>107.34194625000001</v>
      </c>
      <c r="P14" s="19"/>
      <c r="Q14" s="19">
        <f t="shared" si="4"/>
        <v>751.39362375000007</v>
      </c>
      <c r="R14" s="11">
        <f t="shared" si="1"/>
        <v>751.39362375000007</v>
      </c>
      <c r="S14" s="19">
        <v>2037.0406759000002</v>
      </c>
      <c r="T14" s="21">
        <f>2583</f>
        <v>2583</v>
      </c>
      <c r="U14" s="22"/>
      <c r="V14" s="22"/>
      <c r="W14" s="22"/>
      <c r="X14" s="16">
        <f t="shared" si="2"/>
        <v>6230.1698696500007</v>
      </c>
      <c r="Y14" s="17">
        <f t="shared" si="3"/>
        <v>10526.024755349999</v>
      </c>
    </row>
    <row r="15" spans="2:25" x14ac:dyDescent="0.25">
      <c r="B15" s="7" t="s">
        <v>60</v>
      </c>
      <c r="C15" s="8" t="s">
        <v>33</v>
      </c>
      <c r="D15" s="9">
        <v>5</v>
      </c>
      <c r="E15" s="10">
        <f>10472.385*1.025</f>
        <v>10734.194625</v>
      </c>
      <c r="F15" s="12">
        <v>1133</v>
      </c>
      <c r="G15" s="12">
        <v>1133</v>
      </c>
      <c r="H15" s="12">
        <v>1133</v>
      </c>
      <c r="I15" s="12">
        <v>1000</v>
      </c>
      <c r="J15" s="12">
        <v>260</v>
      </c>
      <c r="K15" s="19"/>
      <c r="L15" s="12"/>
      <c r="M15" s="19">
        <v>838</v>
      </c>
      <c r="N15" s="14">
        <f t="shared" si="0"/>
        <v>16231.194625</v>
      </c>
      <c r="O15" s="19">
        <f t="shared" si="5"/>
        <v>107.34194625000001</v>
      </c>
      <c r="P15" s="19">
        <f>500</f>
        <v>500</v>
      </c>
      <c r="Q15" s="19">
        <f t="shared" si="4"/>
        <v>751.39362375000007</v>
      </c>
      <c r="R15" s="11">
        <f t="shared" si="1"/>
        <v>751.39362375000007</v>
      </c>
      <c r="S15" s="19">
        <v>1924.9006759000004</v>
      </c>
      <c r="T15" s="21"/>
      <c r="U15" s="22"/>
      <c r="V15" s="22"/>
      <c r="W15" s="22"/>
      <c r="X15" s="16">
        <f t="shared" si="2"/>
        <v>4035.0298696500004</v>
      </c>
      <c r="Y15" s="17">
        <f t="shared" si="3"/>
        <v>12196.164755350001</v>
      </c>
    </row>
    <row r="16" spans="2:25" x14ac:dyDescent="0.25">
      <c r="B16" s="7" t="s">
        <v>60</v>
      </c>
      <c r="C16" s="8" t="s">
        <v>34</v>
      </c>
      <c r="D16" s="9">
        <v>4</v>
      </c>
      <c r="E16" s="10">
        <f>9192.729*1.025</f>
        <v>9422.5472249999984</v>
      </c>
      <c r="F16" s="12">
        <v>1133</v>
      </c>
      <c r="G16" s="12">
        <v>1133</v>
      </c>
      <c r="H16" s="12">
        <v>1133</v>
      </c>
      <c r="I16" s="12">
        <v>1000</v>
      </c>
      <c r="J16" s="12">
        <v>230</v>
      </c>
      <c r="K16" s="19"/>
      <c r="L16" s="12"/>
      <c r="M16" s="19">
        <v>790</v>
      </c>
      <c r="N16" s="14">
        <f t="shared" si="0"/>
        <v>14841.547224999998</v>
      </c>
      <c r="O16" s="19">
        <f t="shared" si="5"/>
        <v>94.225472249999981</v>
      </c>
      <c r="P16" s="19"/>
      <c r="Q16" s="19">
        <f t="shared" si="4"/>
        <v>659.57830574999991</v>
      </c>
      <c r="R16" s="11">
        <f t="shared" si="1"/>
        <v>659.57830574999991</v>
      </c>
      <c r="S16" s="19">
        <v>1636.4023912599998</v>
      </c>
      <c r="T16" s="21"/>
      <c r="U16" s="22"/>
      <c r="V16" s="22"/>
      <c r="W16" s="22"/>
      <c r="X16" s="16">
        <f t="shared" si="2"/>
        <v>3049.7844750099994</v>
      </c>
      <c r="Y16" s="17">
        <f t="shared" si="3"/>
        <v>11791.762749989999</v>
      </c>
    </row>
    <row r="17" spans="2:26" x14ac:dyDescent="0.25">
      <c r="B17" s="7" t="s">
        <v>60</v>
      </c>
      <c r="C17" s="8" t="s">
        <v>35</v>
      </c>
      <c r="D17" s="9">
        <v>4</v>
      </c>
      <c r="E17" s="10">
        <f>9192.729*1.025</f>
        <v>9422.5472249999984</v>
      </c>
      <c r="F17" s="12">
        <v>1133</v>
      </c>
      <c r="G17" s="12">
        <v>1133</v>
      </c>
      <c r="H17" s="12">
        <v>1133</v>
      </c>
      <c r="I17" s="12">
        <v>1000</v>
      </c>
      <c r="J17" s="12">
        <v>230</v>
      </c>
      <c r="K17" s="19"/>
      <c r="L17" s="12">
        <v>300</v>
      </c>
      <c r="M17" s="19">
        <v>790</v>
      </c>
      <c r="N17" s="14">
        <f t="shared" si="0"/>
        <v>15141.547224999998</v>
      </c>
      <c r="O17" s="19">
        <f t="shared" si="5"/>
        <v>94.225472249999981</v>
      </c>
      <c r="P17" s="19">
        <f>500</f>
        <v>500</v>
      </c>
      <c r="Q17" s="19">
        <f t="shared" si="4"/>
        <v>659.57830574999991</v>
      </c>
      <c r="R17" s="11">
        <f t="shared" si="1"/>
        <v>659.57830574999991</v>
      </c>
      <c r="S17" s="19">
        <v>1700.48239126</v>
      </c>
      <c r="T17" s="21"/>
      <c r="U17" s="22"/>
      <c r="V17" s="22"/>
      <c r="W17" s="22"/>
      <c r="X17" s="16">
        <f t="shared" si="2"/>
        <v>3613.8644750099998</v>
      </c>
      <c r="Y17" s="17">
        <f t="shared" si="3"/>
        <v>11527.682749989999</v>
      </c>
    </row>
    <row r="18" spans="2:26" x14ac:dyDescent="0.25">
      <c r="B18" s="7" t="s">
        <v>60</v>
      </c>
      <c r="C18" s="8" t="s">
        <v>36</v>
      </c>
      <c r="D18" s="9">
        <v>2</v>
      </c>
      <c r="E18" s="10">
        <f>7675.6365*1.025</f>
        <v>7867.5274124999987</v>
      </c>
      <c r="F18" s="12">
        <v>1133</v>
      </c>
      <c r="G18" s="12">
        <v>1133</v>
      </c>
      <c r="H18" s="12">
        <v>1133</v>
      </c>
      <c r="I18" s="12">
        <v>1000</v>
      </c>
      <c r="J18" s="12">
        <v>190</v>
      </c>
      <c r="K18" s="19"/>
      <c r="L18" s="12">
        <v>150</v>
      </c>
      <c r="M18" s="19">
        <v>733</v>
      </c>
      <c r="N18" s="14">
        <f t="shared" si="0"/>
        <v>13339.5274125</v>
      </c>
      <c r="O18" s="19">
        <f t="shared" si="5"/>
        <v>78.675274124999987</v>
      </c>
      <c r="P18" s="19">
        <f>1000</f>
        <v>1000</v>
      </c>
      <c r="Q18" s="19">
        <f t="shared" si="4"/>
        <v>550.72691887499991</v>
      </c>
      <c r="R18" s="11">
        <f t="shared" si="1"/>
        <v>550.72691887499991</v>
      </c>
      <c r="S18" s="19">
        <v>1325.93055931</v>
      </c>
      <c r="T18" s="21"/>
      <c r="U18" s="22"/>
      <c r="V18" s="22"/>
      <c r="W18" s="22"/>
      <c r="X18" s="16">
        <f t="shared" si="2"/>
        <v>3506.0596711849994</v>
      </c>
      <c r="Y18" s="17">
        <f t="shared" si="3"/>
        <v>9833.4677413150002</v>
      </c>
    </row>
    <row r="19" spans="2:26" x14ac:dyDescent="0.25">
      <c r="B19" s="7" t="s">
        <v>60</v>
      </c>
      <c r="C19" s="8" t="s">
        <v>37</v>
      </c>
      <c r="D19" s="9">
        <v>2</v>
      </c>
      <c r="E19" s="10">
        <f>7675.6365*1.025</f>
        <v>7867.5274124999987</v>
      </c>
      <c r="F19" s="12">
        <v>1133</v>
      </c>
      <c r="G19" s="12">
        <v>1133</v>
      </c>
      <c r="H19" s="12">
        <v>1133</v>
      </c>
      <c r="I19" s="12">
        <v>1000</v>
      </c>
      <c r="J19" s="12">
        <v>190</v>
      </c>
      <c r="K19" s="19"/>
      <c r="L19" s="12">
        <v>300</v>
      </c>
      <c r="M19" s="19">
        <v>733</v>
      </c>
      <c r="N19" s="14">
        <f t="shared" si="0"/>
        <v>13489.5274125</v>
      </c>
      <c r="O19" s="19">
        <f t="shared" si="5"/>
        <v>78.675274124999987</v>
      </c>
      <c r="P19" s="19">
        <f>500</f>
        <v>500</v>
      </c>
      <c r="Q19" s="19">
        <f t="shared" si="4"/>
        <v>550.72691887499991</v>
      </c>
      <c r="R19" s="11">
        <f t="shared" si="1"/>
        <v>550.72691887499991</v>
      </c>
      <c r="S19" s="19">
        <v>1357.97055931</v>
      </c>
      <c r="T19" s="21"/>
      <c r="U19" s="22">
        <v>966.64</v>
      </c>
      <c r="V19" s="22">
        <v>1933.28</v>
      </c>
      <c r="W19" s="22">
        <v>1325</v>
      </c>
      <c r="X19" s="16">
        <f t="shared" si="2"/>
        <v>7263.0196711849994</v>
      </c>
      <c r="Y19" s="17">
        <f t="shared" si="3"/>
        <v>6226.5077413150002</v>
      </c>
    </row>
    <row r="20" spans="2:26" ht="22.5" x14ac:dyDescent="0.25">
      <c r="B20" s="7" t="s">
        <v>60</v>
      </c>
      <c r="C20" s="8" t="s">
        <v>38</v>
      </c>
      <c r="D20" s="9"/>
      <c r="E20" s="10">
        <f>7204.1865*1.025</f>
        <v>7384.2911624999988</v>
      </c>
      <c r="F20" s="12">
        <v>1133</v>
      </c>
      <c r="G20" s="12">
        <v>1133</v>
      </c>
      <c r="H20" s="12">
        <v>1133</v>
      </c>
      <c r="I20" s="12">
        <v>1000</v>
      </c>
      <c r="J20" s="12">
        <v>180</v>
      </c>
      <c r="K20" s="19"/>
      <c r="L20" s="12">
        <v>150</v>
      </c>
      <c r="M20" s="19">
        <v>715</v>
      </c>
      <c r="N20" s="14">
        <f t="shared" si="0"/>
        <v>12828.291162499998</v>
      </c>
      <c r="O20" s="19">
        <f t="shared" si="5"/>
        <v>73.842911624999985</v>
      </c>
      <c r="P20" s="19">
        <f>500</f>
        <v>500</v>
      </c>
      <c r="Q20" s="19">
        <f t="shared" si="4"/>
        <v>516.90038137499994</v>
      </c>
      <c r="R20" s="11">
        <f t="shared" si="1"/>
        <v>516.90038137499994</v>
      </c>
      <c r="S20" s="19">
        <v>1219.7208963099997</v>
      </c>
      <c r="T20" s="21"/>
      <c r="U20" s="22"/>
      <c r="V20" s="22"/>
      <c r="W20" s="22"/>
      <c r="X20" s="16">
        <f t="shared" si="2"/>
        <v>2827.3645706849998</v>
      </c>
      <c r="Y20" s="17">
        <f t="shared" si="3"/>
        <v>10000.926591814998</v>
      </c>
    </row>
    <row r="21" spans="2:26" ht="22.5" x14ac:dyDescent="0.25">
      <c r="B21" s="7" t="s">
        <v>60</v>
      </c>
      <c r="C21" s="8" t="s">
        <v>39</v>
      </c>
      <c r="D21" s="9">
        <v>1</v>
      </c>
      <c r="E21" s="10">
        <f>7204.1865*1.025</f>
        <v>7384.2911624999988</v>
      </c>
      <c r="F21" s="12">
        <v>1133</v>
      </c>
      <c r="G21" s="12">
        <v>1133</v>
      </c>
      <c r="H21" s="12">
        <v>1133</v>
      </c>
      <c r="I21" s="12">
        <v>1000</v>
      </c>
      <c r="J21" s="12">
        <v>180</v>
      </c>
      <c r="K21" s="19"/>
      <c r="L21" s="12"/>
      <c r="M21" s="19">
        <v>715</v>
      </c>
      <c r="N21" s="14">
        <f t="shared" si="0"/>
        <v>12678.291162499998</v>
      </c>
      <c r="O21" s="19"/>
      <c r="P21" s="19"/>
      <c r="Q21" s="19">
        <f t="shared" si="4"/>
        <v>516.90038137499994</v>
      </c>
      <c r="R21" s="11">
        <f t="shared" si="1"/>
        <v>516.90038137499994</v>
      </c>
      <c r="S21" s="19">
        <v>1187.6808963099998</v>
      </c>
      <c r="T21" s="21"/>
      <c r="U21" s="22"/>
      <c r="V21" s="22"/>
      <c r="W21" s="22"/>
      <c r="X21" s="16">
        <f t="shared" si="2"/>
        <v>2221.4816590599994</v>
      </c>
      <c r="Y21" s="17">
        <f t="shared" si="3"/>
        <v>10456.809503439999</v>
      </c>
    </row>
    <row r="22" spans="2:26" ht="22.5" x14ac:dyDescent="0.25">
      <c r="B22" s="7" t="s">
        <v>61</v>
      </c>
      <c r="C22" s="8" t="s">
        <v>40</v>
      </c>
      <c r="D22" s="9"/>
      <c r="E22" s="10">
        <f>6069.96</f>
        <v>6069.96</v>
      </c>
      <c r="F22" s="28"/>
      <c r="G22" s="28"/>
      <c r="H22" s="28"/>
      <c r="I22" s="25"/>
      <c r="J22" s="26"/>
      <c r="K22" s="26"/>
      <c r="L22" s="26"/>
      <c r="M22" s="19"/>
      <c r="N22" s="14">
        <f t="shared" si="0"/>
        <v>6069.96</v>
      </c>
      <c r="O22" s="19"/>
      <c r="P22" s="26"/>
      <c r="Q22" s="26"/>
      <c r="R22" s="11"/>
      <c r="S22" s="19">
        <v>527.76699999999994</v>
      </c>
      <c r="T22" s="21"/>
      <c r="U22" s="22"/>
      <c r="V22" s="22"/>
      <c r="W22" s="22"/>
      <c r="X22" s="16">
        <f t="shared" si="2"/>
        <v>527.76699999999994</v>
      </c>
      <c r="Y22" s="17">
        <f t="shared" si="3"/>
        <v>5542.1930000000002</v>
      </c>
    </row>
    <row r="23" spans="2:26" x14ac:dyDescent="0.25">
      <c r="B23" s="7" t="s">
        <v>61</v>
      </c>
      <c r="C23" s="23" t="s">
        <v>41</v>
      </c>
      <c r="D23" s="29"/>
      <c r="E23" s="30">
        <f>3018.5</f>
        <v>3018.5</v>
      </c>
      <c r="F23" s="28"/>
      <c r="G23" s="28"/>
      <c r="H23" s="28"/>
      <c r="I23" s="25"/>
      <c r="J23" s="26"/>
      <c r="K23" s="26"/>
      <c r="L23" s="26"/>
      <c r="M23" s="19"/>
      <c r="N23" s="14">
        <f t="shared" si="0"/>
        <v>3018.5</v>
      </c>
      <c r="O23" s="19"/>
      <c r="P23" s="26"/>
      <c r="Q23" s="26"/>
      <c r="R23" s="11"/>
      <c r="S23" s="19">
        <v>176.47039999999998</v>
      </c>
      <c r="T23" s="21"/>
      <c r="U23" s="22"/>
      <c r="V23" s="22"/>
      <c r="W23" s="22"/>
      <c r="X23" s="16">
        <f t="shared" si="2"/>
        <v>176.47039999999998</v>
      </c>
      <c r="Y23" s="17">
        <f t="shared" si="3"/>
        <v>2842.0295999999998</v>
      </c>
    </row>
    <row r="24" spans="2:26" ht="15.75" thickBot="1" x14ac:dyDescent="0.3">
      <c r="B24" s="31" t="s">
        <v>42</v>
      </c>
      <c r="C24" s="32"/>
      <c r="D24" s="33"/>
      <c r="E24" s="34">
        <f t="shared" ref="E24:Y24" si="6">SUM(E3:E23)</f>
        <v>238122.87256449627</v>
      </c>
      <c r="F24" s="34">
        <f t="shared" si="6"/>
        <v>17196</v>
      </c>
      <c r="G24" s="34">
        <f t="shared" si="6"/>
        <v>18096</v>
      </c>
      <c r="H24" s="34">
        <f t="shared" si="6"/>
        <v>17196</v>
      </c>
      <c r="I24" s="34">
        <f t="shared" si="6"/>
        <v>16000</v>
      </c>
      <c r="J24" s="34">
        <f t="shared" si="6"/>
        <v>2310</v>
      </c>
      <c r="K24" s="34">
        <f t="shared" si="6"/>
        <v>4929</v>
      </c>
      <c r="L24" s="34">
        <f t="shared" si="6"/>
        <v>1975</v>
      </c>
      <c r="M24" s="34">
        <f t="shared" si="6"/>
        <v>9862</v>
      </c>
      <c r="N24" s="34">
        <f t="shared" si="6"/>
        <v>325686.87256449624</v>
      </c>
      <c r="O24" s="34">
        <f t="shared" si="6"/>
        <v>1010.0716027499998</v>
      </c>
      <c r="P24" s="34">
        <f t="shared" si="6"/>
        <v>4000</v>
      </c>
      <c r="Q24" s="34">
        <f t="shared" si="6"/>
        <v>8645.9360795147404</v>
      </c>
      <c r="R24" s="34">
        <f t="shared" si="6"/>
        <v>16032.408879514742</v>
      </c>
      <c r="S24" s="34">
        <f t="shared" si="6"/>
        <v>41708.378906069513</v>
      </c>
      <c r="T24" s="34">
        <f t="shared" si="6"/>
        <v>2583</v>
      </c>
      <c r="U24" s="34">
        <f t="shared" si="6"/>
        <v>1933.28</v>
      </c>
      <c r="V24" s="34">
        <f t="shared" si="6"/>
        <v>1933.28</v>
      </c>
      <c r="W24" s="34">
        <f t="shared" si="6"/>
        <v>1325</v>
      </c>
      <c r="X24" s="34">
        <f t="shared" si="6"/>
        <v>79171.355467849004</v>
      </c>
      <c r="Y24" s="34">
        <f t="shared" si="6"/>
        <v>246515.51709664724</v>
      </c>
      <c r="Z24" s="18"/>
    </row>
    <row r="25" spans="2:26" x14ac:dyDescent="0.25"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9" spans="2:26" x14ac:dyDescent="0.25">
      <c r="B29" t="s">
        <v>58</v>
      </c>
      <c r="C29" t="s">
        <v>54</v>
      </c>
    </row>
    <row r="30" spans="2:26" x14ac:dyDescent="0.25">
      <c r="B30" t="s">
        <v>59</v>
      </c>
      <c r="C30" t="s">
        <v>55</v>
      </c>
    </row>
    <row r="31" spans="2:26" x14ac:dyDescent="0.25">
      <c r="B31" t="s">
        <v>60</v>
      </c>
      <c r="C31" t="s">
        <v>62</v>
      </c>
    </row>
    <row r="32" spans="2:26" x14ac:dyDescent="0.25">
      <c r="B32" t="s">
        <v>61</v>
      </c>
      <c r="C32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>
      <selection activeCell="AC20" sqref="AC20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6" width="8.7109375" customWidth="1"/>
    <col min="17" max="17" width="12.5703125" bestFit="1" customWidth="1"/>
    <col min="18" max="18" width="7.42578125" customWidth="1"/>
    <col min="19" max="20" width="8.7109375" bestFit="1" customWidth="1"/>
    <col min="21" max="21" width="9" customWidth="1"/>
    <col min="22" max="22" width="9.5703125" customWidth="1"/>
    <col min="23" max="23" width="7.85546875" customWidth="1"/>
    <col min="24" max="26" width="10.140625" customWidth="1"/>
    <col min="27" max="27" width="9.5703125" customWidth="1"/>
    <col min="28" max="28" width="12.5703125" bestFit="1" customWidth="1"/>
    <col min="29" max="29" width="14.140625" bestFit="1" customWidth="1"/>
  </cols>
  <sheetData>
    <row r="1" spans="2:28" ht="19.5" thickBot="1" x14ac:dyDescent="0.3">
      <c r="E1" s="1"/>
      <c r="F1" s="2" t="s">
        <v>89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8" ht="48.75" customHeight="1" x14ac:dyDescent="0.25">
      <c r="B2" s="40"/>
      <c r="C2" s="40"/>
      <c r="D2" s="3" t="s">
        <v>1</v>
      </c>
      <c r="E2" s="44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6" t="s">
        <v>53</v>
      </c>
      <c r="P2" s="46" t="s">
        <v>67</v>
      </c>
      <c r="Q2" s="41"/>
      <c r="R2" s="4" t="s">
        <v>13</v>
      </c>
      <c r="S2" s="4" t="s">
        <v>14</v>
      </c>
      <c r="T2" s="4" t="s">
        <v>15</v>
      </c>
      <c r="U2" s="4" t="s">
        <v>16</v>
      </c>
      <c r="V2" s="4" t="s">
        <v>17</v>
      </c>
      <c r="W2" s="5" t="s">
        <v>18</v>
      </c>
      <c r="X2" s="42" t="s">
        <v>0</v>
      </c>
      <c r="Y2" s="42" t="s">
        <v>52</v>
      </c>
      <c r="Z2" s="42" t="s">
        <v>91</v>
      </c>
      <c r="AA2" s="42"/>
      <c r="AB2" s="43"/>
    </row>
    <row r="3" spans="2:28" x14ac:dyDescent="0.25">
      <c r="B3" s="7" t="s">
        <v>58</v>
      </c>
      <c r="C3" s="8" t="s">
        <v>21</v>
      </c>
      <c r="D3" s="9">
        <v>17</v>
      </c>
      <c r="E3" s="10">
        <f>38573.38/2</f>
        <v>19286.689999999999</v>
      </c>
      <c r="F3" s="12">
        <v>200</v>
      </c>
      <c r="G3" s="11"/>
      <c r="H3" s="12"/>
      <c r="I3" s="11"/>
      <c r="J3" s="11"/>
      <c r="K3" s="11"/>
      <c r="L3" s="11"/>
      <c r="M3" s="11"/>
      <c r="N3" s="13"/>
      <c r="O3" s="13"/>
      <c r="P3" s="13"/>
      <c r="Q3" s="14">
        <f t="shared" ref="Q3:Q23" si="0">SUM(E3:P3)</f>
        <v>19486.689999999999</v>
      </c>
      <c r="R3" s="11"/>
      <c r="S3" s="11"/>
      <c r="T3" s="11"/>
      <c r="U3" s="11">
        <f t="shared" ref="U3:U21" si="1">(E3*0.07)</f>
        <v>1350.0683000000001</v>
      </c>
      <c r="V3" s="11">
        <v>3388.3970879999997</v>
      </c>
      <c r="W3" s="15"/>
      <c r="X3" s="16"/>
      <c r="Y3" s="16"/>
      <c r="Z3" s="16"/>
      <c r="AA3" s="16">
        <f t="shared" ref="AA3:AA23" si="2">SUM(R3:Z3)</f>
        <v>4738.4653879999996</v>
      </c>
      <c r="AB3" s="17">
        <f t="shared" ref="AB3:AB23" si="3">+Q3-AA3</f>
        <v>14748.224611999998</v>
      </c>
    </row>
    <row r="4" spans="2:28" x14ac:dyDescent="0.25">
      <c r="B4" s="7" t="s">
        <v>58</v>
      </c>
      <c r="C4" s="8" t="s">
        <v>22</v>
      </c>
      <c r="D4" s="9">
        <v>14</v>
      </c>
      <c r="E4" s="10">
        <f>14917.51</f>
        <v>14917.51</v>
      </c>
      <c r="F4" s="12">
        <v>200</v>
      </c>
      <c r="G4" s="19"/>
      <c r="H4" s="12"/>
      <c r="I4" s="19"/>
      <c r="J4" s="19"/>
      <c r="K4" s="19"/>
      <c r="L4" s="19"/>
      <c r="M4" s="19"/>
      <c r="N4" s="20"/>
      <c r="O4" s="20"/>
      <c r="P4" s="20"/>
      <c r="Q4" s="14">
        <f t="shared" si="0"/>
        <v>15117.51</v>
      </c>
      <c r="R4" s="19"/>
      <c r="S4" s="19"/>
      <c r="T4" s="19"/>
      <c r="U4" s="11">
        <f t="shared" si="1"/>
        <v>1044.2257000000002</v>
      </c>
      <c r="V4" s="19">
        <v>2373.7416400000002</v>
      </c>
      <c r="W4" s="21"/>
      <c r="X4" s="22"/>
      <c r="Y4" s="22"/>
      <c r="Z4" s="22"/>
      <c r="AA4" s="16">
        <f t="shared" si="2"/>
        <v>3417.9673400000001</v>
      </c>
      <c r="AB4" s="17">
        <f t="shared" si="3"/>
        <v>11699.542659999999</v>
      </c>
    </row>
    <row r="5" spans="2:28" x14ac:dyDescent="0.25">
      <c r="B5" s="7" t="s">
        <v>58</v>
      </c>
      <c r="C5" s="8" t="s">
        <v>23</v>
      </c>
      <c r="D5" s="9">
        <v>14</v>
      </c>
      <c r="E5" s="10">
        <f>14917.51</f>
        <v>14917.51</v>
      </c>
      <c r="F5" s="12">
        <v>200</v>
      </c>
      <c r="G5" s="19"/>
      <c r="H5" s="12"/>
      <c r="I5" s="19"/>
      <c r="J5" s="19"/>
      <c r="K5" s="19"/>
      <c r="L5" s="19"/>
      <c r="M5" s="19"/>
      <c r="N5" s="20"/>
      <c r="O5" s="20"/>
      <c r="P5" s="20"/>
      <c r="Q5" s="14">
        <f t="shared" si="0"/>
        <v>15117.51</v>
      </c>
      <c r="R5" s="19"/>
      <c r="S5" s="19"/>
      <c r="T5" s="19"/>
      <c r="U5" s="11">
        <f t="shared" si="1"/>
        <v>1044.2257000000002</v>
      </c>
      <c r="V5" s="19">
        <v>2373.7416400000002</v>
      </c>
      <c r="W5" s="21"/>
      <c r="X5" s="22"/>
      <c r="Y5" s="22"/>
      <c r="Z5" s="22"/>
      <c r="AA5" s="16">
        <f t="shared" si="2"/>
        <v>3417.9673400000001</v>
      </c>
      <c r="AB5" s="17">
        <f t="shared" si="3"/>
        <v>11699.542659999999</v>
      </c>
    </row>
    <row r="6" spans="2:28" x14ac:dyDescent="0.25">
      <c r="B6" s="7" t="s">
        <v>59</v>
      </c>
      <c r="C6" s="8" t="s">
        <v>24</v>
      </c>
      <c r="D6" s="9">
        <v>13</v>
      </c>
      <c r="E6" s="10">
        <f>15022.1</f>
        <v>15022.1</v>
      </c>
      <c r="F6" s="12">
        <v>900</v>
      </c>
      <c r="G6" s="12">
        <v>900</v>
      </c>
      <c r="H6" s="12">
        <v>900</v>
      </c>
      <c r="I6" s="12">
        <v>3000</v>
      </c>
      <c r="J6" s="19">
        <v>3341.8</v>
      </c>
      <c r="K6" s="19">
        <v>733</v>
      </c>
      <c r="L6" s="12"/>
      <c r="M6" s="19"/>
      <c r="N6" s="20">
        <f t="shared" ref="N6:N13" si="4">(E6/15)*2</f>
        <v>2002.9466666666667</v>
      </c>
      <c r="O6" s="20">
        <f t="shared" ref="O6:O21" si="5">(E6/15)*4</f>
        <v>4005.8933333333334</v>
      </c>
      <c r="P6" s="20">
        <f t="shared" ref="P6:P21" si="6">(E6/15)*4</f>
        <v>4005.8933333333334</v>
      </c>
      <c r="Q6" s="14">
        <f t="shared" si="0"/>
        <v>34811.633333333331</v>
      </c>
      <c r="R6" s="19"/>
      <c r="S6" s="19"/>
      <c r="T6" s="19"/>
      <c r="U6" s="11">
        <f t="shared" si="1"/>
        <v>1051.547</v>
      </c>
      <c r="V6" s="19">
        <v>4371.5746400000007</v>
      </c>
      <c r="W6" s="21"/>
      <c r="X6" s="22"/>
      <c r="Y6" s="22"/>
      <c r="Z6" s="22"/>
      <c r="AA6" s="16">
        <f t="shared" si="2"/>
        <v>5423.1216400000012</v>
      </c>
      <c r="AB6" s="17">
        <f t="shared" si="3"/>
        <v>29388.51169333333</v>
      </c>
    </row>
    <row r="7" spans="2:28" ht="15" customHeight="1" x14ac:dyDescent="0.25">
      <c r="B7" s="7" t="s">
        <v>59</v>
      </c>
      <c r="C7" s="8" t="s">
        <v>25</v>
      </c>
      <c r="D7" s="9">
        <v>13</v>
      </c>
      <c r="E7" s="10">
        <f>15022.1</f>
        <v>15022.1</v>
      </c>
      <c r="F7" s="12">
        <v>900</v>
      </c>
      <c r="G7" s="12">
        <v>900</v>
      </c>
      <c r="H7" s="12">
        <v>900</v>
      </c>
      <c r="I7" s="12">
        <v>3000</v>
      </c>
      <c r="J7" s="19">
        <v>3341.8</v>
      </c>
      <c r="K7" s="19">
        <v>733</v>
      </c>
      <c r="L7" s="12"/>
      <c r="M7" s="19"/>
      <c r="N7" s="20">
        <f t="shared" si="4"/>
        <v>2002.9466666666667</v>
      </c>
      <c r="O7" s="20">
        <f t="shared" si="5"/>
        <v>4005.8933333333334</v>
      </c>
      <c r="P7" s="20">
        <f t="shared" si="6"/>
        <v>4005.8933333333334</v>
      </c>
      <c r="Q7" s="14">
        <f t="shared" si="0"/>
        <v>34811.633333333331</v>
      </c>
      <c r="R7" s="19"/>
      <c r="S7" s="19"/>
      <c r="T7" s="19"/>
      <c r="U7" s="11">
        <f t="shared" si="1"/>
        <v>1051.547</v>
      </c>
      <c r="V7" s="19">
        <v>4371.5746400000007</v>
      </c>
      <c r="W7" s="21"/>
      <c r="X7" s="22"/>
      <c r="Y7" s="22"/>
      <c r="Z7" s="22"/>
      <c r="AA7" s="16">
        <f t="shared" si="2"/>
        <v>5423.1216400000012</v>
      </c>
      <c r="AB7" s="17">
        <f t="shared" si="3"/>
        <v>29388.51169333333</v>
      </c>
    </row>
    <row r="8" spans="2:28" ht="15" customHeight="1" x14ac:dyDescent="0.25">
      <c r="B8" s="7" t="s">
        <v>59</v>
      </c>
      <c r="C8" s="8" t="s">
        <v>26</v>
      </c>
      <c r="D8" s="9">
        <v>13</v>
      </c>
      <c r="E8" s="10">
        <f>15022.1</f>
        <v>15022.1</v>
      </c>
      <c r="F8" s="12">
        <v>900</v>
      </c>
      <c r="G8" s="12">
        <v>900</v>
      </c>
      <c r="H8" s="12">
        <v>900</v>
      </c>
      <c r="I8" s="12">
        <v>3000</v>
      </c>
      <c r="J8" s="19">
        <v>3341.8</v>
      </c>
      <c r="K8" s="19">
        <v>733</v>
      </c>
      <c r="L8" s="12"/>
      <c r="M8" s="19"/>
      <c r="N8" s="20">
        <f t="shared" si="4"/>
        <v>2002.9466666666667</v>
      </c>
      <c r="O8" s="20">
        <f t="shared" si="5"/>
        <v>4005.8933333333334</v>
      </c>
      <c r="P8" s="20">
        <f t="shared" si="6"/>
        <v>4005.8933333333334</v>
      </c>
      <c r="Q8" s="14">
        <f t="shared" si="0"/>
        <v>34811.633333333331</v>
      </c>
      <c r="R8" s="19"/>
      <c r="S8" s="19"/>
      <c r="T8" s="19"/>
      <c r="U8" s="11">
        <f t="shared" si="1"/>
        <v>1051.547</v>
      </c>
      <c r="V8" s="19">
        <v>4371.5746400000007</v>
      </c>
      <c r="W8" s="21"/>
      <c r="X8" s="22"/>
      <c r="Y8" s="22"/>
      <c r="Z8" s="22"/>
      <c r="AA8" s="16">
        <f t="shared" si="2"/>
        <v>5423.1216400000012</v>
      </c>
      <c r="AB8" s="17">
        <f t="shared" si="3"/>
        <v>29388.51169333333</v>
      </c>
    </row>
    <row r="9" spans="2:28" ht="15" customHeight="1" x14ac:dyDescent="0.25">
      <c r="B9" s="7" t="s">
        <v>59</v>
      </c>
      <c r="C9" s="8" t="s">
        <v>27</v>
      </c>
      <c r="D9" s="9">
        <v>9</v>
      </c>
      <c r="E9" s="10">
        <f>11333.03</f>
        <v>11333.03</v>
      </c>
      <c r="F9" s="12">
        <v>900</v>
      </c>
      <c r="G9" s="12">
        <v>900</v>
      </c>
      <c r="H9" s="12">
        <v>900</v>
      </c>
      <c r="I9" s="12">
        <v>1050</v>
      </c>
      <c r="J9" s="19">
        <v>1803.2</v>
      </c>
      <c r="K9" s="19">
        <v>675</v>
      </c>
      <c r="L9" s="12"/>
      <c r="M9" s="19"/>
      <c r="N9" s="20">
        <f t="shared" si="4"/>
        <v>1511.0706666666667</v>
      </c>
      <c r="O9" s="20">
        <f t="shared" si="5"/>
        <v>3022.1413333333335</v>
      </c>
      <c r="P9" s="20">
        <f t="shared" si="6"/>
        <v>3022.1413333333335</v>
      </c>
      <c r="Q9" s="14">
        <f t="shared" si="0"/>
        <v>25116.583333333332</v>
      </c>
      <c r="R9" s="19"/>
      <c r="S9" s="19"/>
      <c r="T9" s="19"/>
      <c r="U9" s="11">
        <f t="shared" si="1"/>
        <v>793.3121000000001</v>
      </c>
      <c r="V9" s="19">
        <v>2797.602128</v>
      </c>
      <c r="W9" s="21"/>
      <c r="X9" s="22"/>
      <c r="Y9" s="22"/>
      <c r="Z9" s="22"/>
      <c r="AA9" s="16">
        <f t="shared" si="2"/>
        <v>3590.9142280000001</v>
      </c>
      <c r="AB9" s="17">
        <f t="shared" si="3"/>
        <v>21525.669105333331</v>
      </c>
    </row>
    <row r="10" spans="2:28" ht="15" customHeight="1" x14ac:dyDescent="0.25">
      <c r="B10" s="7" t="s">
        <v>60</v>
      </c>
      <c r="C10" s="8" t="s">
        <v>28</v>
      </c>
      <c r="D10" s="9">
        <v>10</v>
      </c>
      <c r="E10" s="10">
        <f>14753.0937824354*1.025</f>
        <v>15121.921126996283</v>
      </c>
      <c r="F10" s="12">
        <v>1100</v>
      </c>
      <c r="G10" s="12">
        <v>1133</v>
      </c>
      <c r="H10" s="12">
        <v>1140</v>
      </c>
      <c r="I10" s="12">
        <v>1150</v>
      </c>
      <c r="J10" s="19">
        <v>1934.8</v>
      </c>
      <c r="K10" s="19">
        <v>787</v>
      </c>
      <c r="L10" s="12"/>
      <c r="M10" s="19">
        <v>945</v>
      </c>
      <c r="N10" s="20">
        <f t="shared" si="4"/>
        <v>2016.2561502661711</v>
      </c>
      <c r="O10" s="20">
        <f t="shared" si="5"/>
        <v>4032.5123005323421</v>
      </c>
      <c r="P10" s="20">
        <f t="shared" si="6"/>
        <v>4032.5123005323421</v>
      </c>
      <c r="Q10" s="14">
        <f t="shared" si="0"/>
        <v>33393.001878327137</v>
      </c>
      <c r="R10" s="19"/>
      <c r="S10" s="19"/>
      <c r="T10" s="19">
        <f t="shared" ref="T10:T21" si="7">(E10*0.07)</f>
        <v>1058.5344788897398</v>
      </c>
      <c r="U10" s="11">
        <f t="shared" si="1"/>
        <v>1058.5344788897398</v>
      </c>
      <c r="V10" s="19">
        <v>4137.3377454260344</v>
      </c>
      <c r="W10" s="21"/>
      <c r="X10" s="22"/>
      <c r="Y10" s="22"/>
      <c r="Z10" s="22"/>
      <c r="AA10" s="16">
        <f t="shared" si="2"/>
        <v>6254.4067032055136</v>
      </c>
      <c r="AB10" s="17">
        <f t="shared" si="3"/>
        <v>27138.595175121623</v>
      </c>
    </row>
    <row r="11" spans="2:28" ht="15" customHeight="1" x14ac:dyDescent="0.25">
      <c r="B11" s="7" t="s">
        <v>60</v>
      </c>
      <c r="C11" s="8" t="s">
        <v>29</v>
      </c>
      <c r="D11" s="9">
        <v>8</v>
      </c>
      <c r="E11" s="10">
        <f>12779.3925*1.025</f>
        <v>13098.877312499999</v>
      </c>
      <c r="F11" s="12">
        <v>1100</v>
      </c>
      <c r="G11" s="12">
        <v>1133</v>
      </c>
      <c r="H11" s="12">
        <v>1140</v>
      </c>
      <c r="I11" s="12">
        <v>1000</v>
      </c>
      <c r="J11" s="11">
        <v>1677.2</v>
      </c>
      <c r="K11" s="11">
        <f>662+100</f>
        <v>762</v>
      </c>
      <c r="L11" s="12">
        <f>225</f>
        <v>225</v>
      </c>
      <c r="M11" s="12">
        <v>838</v>
      </c>
      <c r="N11" s="20">
        <f t="shared" si="4"/>
        <v>1746.5169749999998</v>
      </c>
      <c r="O11" s="20">
        <f t="shared" si="5"/>
        <v>3493.0339499999995</v>
      </c>
      <c r="P11" s="20">
        <f t="shared" si="6"/>
        <v>3493.0339499999995</v>
      </c>
      <c r="Q11" s="14">
        <f t="shared" si="0"/>
        <v>29706.662187500002</v>
      </c>
      <c r="R11" s="19">
        <f t="shared" ref="R11:R20" si="8">(E11*0.01)</f>
        <v>130.98877312499999</v>
      </c>
      <c r="S11" s="19">
        <f>1000</f>
        <v>1000</v>
      </c>
      <c r="T11" s="19">
        <f t="shared" si="7"/>
        <v>916.92141187499999</v>
      </c>
      <c r="U11" s="11">
        <f t="shared" si="1"/>
        <v>916.92141187499999</v>
      </c>
      <c r="V11" s="19">
        <v>3492.3742451999988</v>
      </c>
      <c r="W11" s="21"/>
      <c r="X11" s="22">
        <v>966.64</v>
      </c>
      <c r="Y11" s="22"/>
      <c r="Z11" s="22"/>
      <c r="AA11" s="16">
        <f t="shared" si="2"/>
        <v>7423.8458420749994</v>
      </c>
      <c r="AB11" s="17">
        <f t="shared" si="3"/>
        <v>22282.816345425003</v>
      </c>
    </row>
    <row r="12" spans="2:28" ht="22.5" x14ac:dyDescent="0.25">
      <c r="B12" s="7" t="s">
        <v>60</v>
      </c>
      <c r="C12" s="23" t="s">
        <v>30</v>
      </c>
      <c r="D12" s="24">
        <v>7</v>
      </c>
      <c r="E12" s="10">
        <f>11939.2455*1.025</f>
        <v>12237.7266375</v>
      </c>
      <c r="F12" s="12">
        <v>1100</v>
      </c>
      <c r="G12" s="12">
        <v>1133</v>
      </c>
      <c r="H12" s="12">
        <v>1140</v>
      </c>
      <c r="I12" s="12"/>
      <c r="J12" s="11">
        <v>1565.2</v>
      </c>
      <c r="K12" s="11">
        <f>651+100</f>
        <v>751</v>
      </c>
      <c r="L12" s="19">
        <v>325</v>
      </c>
      <c r="M12" s="19">
        <v>793</v>
      </c>
      <c r="N12" s="20">
        <f t="shared" si="4"/>
        <v>1631.6968850000001</v>
      </c>
      <c r="O12" s="20">
        <f t="shared" si="5"/>
        <v>3263.3937700000001</v>
      </c>
      <c r="P12" s="20">
        <f t="shared" si="6"/>
        <v>3263.3937700000001</v>
      </c>
      <c r="Q12" s="14">
        <f t="shared" si="0"/>
        <v>27203.411062499999</v>
      </c>
      <c r="R12" s="19">
        <f t="shared" si="8"/>
        <v>122.377266375</v>
      </c>
      <c r="S12" s="19"/>
      <c r="T12" s="19">
        <f t="shared" si="7"/>
        <v>856.64086462500006</v>
      </c>
      <c r="U12" s="11">
        <f t="shared" si="1"/>
        <v>856.64086462500006</v>
      </c>
      <c r="V12" s="19">
        <v>3108.4805935200006</v>
      </c>
      <c r="W12" s="22"/>
      <c r="X12" s="21"/>
      <c r="Y12" s="21"/>
      <c r="Z12" s="21"/>
      <c r="AA12" s="16">
        <f t="shared" si="2"/>
        <v>4944.1395891450011</v>
      </c>
      <c r="AB12" s="17">
        <f t="shared" si="3"/>
        <v>22259.271473354998</v>
      </c>
    </row>
    <row r="13" spans="2:28" x14ac:dyDescent="0.25">
      <c r="B13" s="7" t="s">
        <v>60</v>
      </c>
      <c r="C13" s="23" t="s">
        <v>31</v>
      </c>
      <c r="D13" s="24">
        <v>7</v>
      </c>
      <c r="E13" s="10">
        <f>11939.2455*1.025</f>
        <v>12237.7266375</v>
      </c>
      <c r="F13" s="12">
        <v>1100</v>
      </c>
      <c r="G13" s="12">
        <v>1133</v>
      </c>
      <c r="H13" s="12">
        <v>1140</v>
      </c>
      <c r="I13" s="12"/>
      <c r="J13" s="11">
        <v>1565.2</v>
      </c>
      <c r="K13" s="11">
        <f>651+100</f>
        <v>751</v>
      </c>
      <c r="L13" s="19"/>
      <c r="M13" s="19">
        <v>793</v>
      </c>
      <c r="N13" s="20">
        <f t="shared" si="4"/>
        <v>1631.6968850000001</v>
      </c>
      <c r="O13" s="20">
        <f t="shared" si="5"/>
        <v>3263.3937700000001</v>
      </c>
      <c r="P13" s="20">
        <f t="shared" si="6"/>
        <v>3263.3937700000001</v>
      </c>
      <c r="Q13" s="14">
        <f t="shared" si="0"/>
        <v>26878.411062499999</v>
      </c>
      <c r="R13" s="19">
        <f t="shared" si="8"/>
        <v>122.377266375</v>
      </c>
      <c r="S13" s="19"/>
      <c r="T13" s="19">
        <f t="shared" si="7"/>
        <v>856.64086462500006</v>
      </c>
      <c r="U13" s="11">
        <f t="shared" si="1"/>
        <v>856.64086462500006</v>
      </c>
      <c r="V13" s="19">
        <v>3032.0405935199997</v>
      </c>
      <c r="W13" s="21"/>
      <c r="X13" s="21"/>
      <c r="Y13" s="21"/>
      <c r="Z13" s="21"/>
      <c r="AA13" s="16">
        <f t="shared" si="2"/>
        <v>4867.6995891449997</v>
      </c>
      <c r="AB13" s="17">
        <f t="shared" si="3"/>
        <v>22010.711473355001</v>
      </c>
    </row>
    <row r="14" spans="2:28" x14ac:dyDescent="0.25">
      <c r="B14" s="7" t="s">
        <v>60</v>
      </c>
      <c r="C14" s="8" t="s">
        <v>32</v>
      </c>
      <c r="D14" s="9">
        <v>5</v>
      </c>
      <c r="E14" s="10">
        <f>10472.385*1.025</f>
        <v>10734.194625</v>
      </c>
      <c r="F14" s="12">
        <v>1100</v>
      </c>
      <c r="G14" s="12">
        <v>1133</v>
      </c>
      <c r="H14" s="12">
        <v>1140</v>
      </c>
      <c r="I14" s="12"/>
      <c r="J14" s="12">
        <v>1241.8</v>
      </c>
      <c r="K14" s="12">
        <f>632+100</f>
        <v>732</v>
      </c>
      <c r="L14" s="19">
        <f>525</f>
        <v>525</v>
      </c>
      <c r="M14" s="19">
        <v>713</v>
      </c>
      <c r="N14" s="20">
        <f t="shared" ref="N14:N21" si="9">(E14/15)*2</f>
        <v>1431.22595</v>
      </c>
      <c r="O14" s="20">
        <f t="shared" si="5"/>
        <v>2862.4519</v>
      </c>
      <c r="P14" s="20">
        <f t="shared" si="6"/>
        <v>2862.4519</v>
      </c>
      <c r="Q14" s="14">
        <f t="shared" si="0"/>
        <v>24475.124374999999</v>
      </c>
      <c r="R14" s="19">
        <f t="shared" si="8"/>
        <v>107.34194625000001</v>
      </c>
      <c r="S14" s="19"/>
      <c r="T14" s="19">
        <f t="shared" si="7"/>
        <v>751.39362375000007</v>
      </c>
      <c r="U14" s="11">
        <f t="shared" si="1"/>
        <v>751.39362375000007</v>
      </c>
      <c r="V14" s="19">
        <v>2634.3387143999998</v>
      </c>
      <c r="W14" s="21">
        <f>2583</f>
        <v>2583</v>
      </c>
      <c r="X14" s="22"/>
      <c r="Y14" s="22"/>
      <c r="Z14" s="22"/>
      <c r="AA14" s="16">
        <f t="shared" si="2"/>
        <v>6827.4679081499999</v>
      </c>
      <c r="AB14" s="17">
        <f t="shared" si="3"/>
        <v>17647.65646685</v>
      </c>
    </row>
    <row r="15" spans="2:28" x14ac:dyDescent="0.25">
      <c r="B15" s="7" t="s">
        <v>60</v>
      </c>
      <c r="C15" s="8" t="s">
        <v>33</v>
      </c>
      <c r="D15" s="9">
        <v>5</v>
      </c>
      <c r="E15" s="10">
        <f>10472.385*1.025</f>
        <v>10734.194625</v>
      </c>
      <c r="F15" s="12">
        <v>1100</v>
      </c>
      <c r="G15" s="12">
        <v>1133</v>
      </c>
      <c r="H15" s="12">
        <v>1140</v>
      </c>
      <c r="I15" s="12"/>
      <c r="J15" s="12">
        <v>1241.8</v>
      </c>
      <c r="K15" s="12">
        <f>632+100</f>
        <v>732</v>
      </c>
      <c r="L15" s="12"/>
      <c r="M15" s="19">
        <v>713</v>
      </c>
      <c r="N15" s="20">
        <f t="shared" si="9"/>
        <v>1431.22595</v>
      </c>
      <c r="O15" s="20">
        <f t="shared" si="5"/>
        <v>2862.4519</v>
      </c>
      <c r="P15" s="20">
        <f t="shared" si="6"/>
        <v>2862.4519</v>
      </c>
      <c r="Q15" s="14">
        <f t="shared" si="0"/>
        <v>23950.124374999999</v>
      </c>
      <c r="R15" s="19">
        <f t="shared" si="8"/>
        <v>107.34194625000001</v>
      </c>
      <c r="S15" s="19">
        <f>500</f>
        <v>500</v>
      </c>
      <c r="T15" s="19">
        <f t="shared" si="7"/>
        <v>751.39362375000007</v>
      </c>
      <c r="U15" s="11">
        <f t="shared" si="1"/>
        <v>751.39362375000007</v>
      </c>
      <c r="V15" s="19">
        <v>2510.8587143999998</v>
      </c>
      <c r="W15" s="21"/>
      <c r="X15" s="22"/>
      <c r="Y15" s="22"/>
      <c r="Z15" s="22"/>
      <c r="AA15" s="16">
        <f t="shared" si="2"/>
        <v>4620.9879081500003</v>
      </c>
      <c r="AB15" s="17">
        <f t="shared" si="3"/>
        <v>19329.136466849999</v>
      </c>
    </row>
    <row r="16" spans="2:28" x14ac:dyDescent="0.25">
      <c r="B16" s="7" t="s">
        <v>60</v>
      </c>
      <c r="C16" s="8" t="s">
        <v>34</v>
      </c>
      <c r="D16" s="9">
        <v>4</v>
      </c>
      <c r="E16" s="10">
        <f>9192.729*1.025</f>
        <v>9422.5472249999984</v>
      </c>
      <c r="F16" s="12">
        <v>1100</v>
      </c>
      <c r="G16" s="12">
        <v>1133</v>
      </c>
      <c r="H16" s="12">
        <v>1140</v>
      </c>
      <c r="I16" s="12"/>
      <c r="J16" s="12">
        <v>845.6</v>
      </c>
      <c r="K16" s="12">
        <f>615+100</f>
        <v>715</v>
      </c>
      <c r="L16" s="12">
        <v>450</v>
      </c>
      <c r="M16" s="19">
        <v>644</v>
      </c>
      <c r="N16" s="20">
        <f t="shared" si="9"/>
        <v>1256.3396299999997</v>
      </c>
      <c r="O16" s="20">
        <f t="shared" si="5"/>
        <v>2512.6792599999994</v>
      </c>
      <c r="P16" s="20">
        <f t="shared" si="6"/>
        <v>2512.6792599999994</v>
      </c>
      <c r="Q16" s="14">
        <f t="shared" si="0"/>
        <v>21731.845375000001</v>
      </c>
      <c r="R16" s="19">
        <f t="shared" si="8"/>
        <v>94.225472249999981</v>
      </c>
      <c r="S16" s="19"/>
      <c r="T16" s="19">
        <f t="shared" si="7"/>
        <v>659.57830574999991</v>
      </c>
      <c r="U16" s="11">
        <f t="shared" si="1"/>
        <v>659.57830574999991</v>
      </c>
      <c r="V16" s="19">
        <v>2181.1142336799999</v>
      </c>
      <c r="W16" s="21"/>
      <c r="X16" s="22"/>
      <c r="Y16" s="22"/>
      <c r="Z16" s="22"/>
      <c r="AA16" s="16">
        <f t="shared" si="2"/>
        <v>3594.4963174299996</v>
      </c>
      <c r="AB16" s="17">
        <f t="shared" si="3"/>
        <v>18137.349057570002</v>
      </c>
    </row>
    <row r="17" spans="2:29" x14ac:dyDescent="0.25">
      <c r="B17" s="7" t="s">
        <v>60</v>
      </c>
      <c r="C17" s="8" t="s">
        <v>35</v>
      </c>
      <c r="D17" s="9">
        <v>4</v>
      </c>
      <c r="E17" s="10">
        <f>9192.729*1.025</f>
        <v>9422.5472249999984</v>
      </c>
      <c r="F17" s="12">
        <v>1100</v>
      </c>
      <c r="G17" s="12">
        <v>1133</v>
      </c>
      <c r="H17" s="12">
        <v>1140</v>
      </c>
      <c r="I17" s="12"/>
      <c r="J17" s="12">
        <v>845.6</v>
      </c>
      <c r="K17" s="12">
        <f>615+100</f>
        <v>715</v>
      </c>
      <c r="L17" s="12">
        <v>150</v>
      </c>
      <c r="M17" s="19">
        <v>644</v>
      </c>
      <c r="N17" s="20">
        <f t="shared" si="9"/>
        <v>1256.3396299999997</v>
      </c>
      <c r="O17" s="20">
        <f t="shared" si="5"/>
        <v>2512.6792599999994</v>
      </c>
      <c r="P17" s="20">
        <f t="shared" si="6"/>
        <v>2512.6792599999994</v>
      </c>
      <c r="Q17" s="14">
        <f t="shared" si="0"/>
        <v>21431.845375000001</v>
      </c>
      <c r="R17" s="19">
        <f t="shared" si="8"/>
        <v>94.225472249999981</v>
      </c>
      <c r="S17" s="19">
        <f>500</f>
        <v>500</v>
      </c>
      <c r="T17" s="19">
        <f t="shared" si="7"/>
        <v>659.57830574999991</v>
      </c>
      <c r="U17" s="11">
        <f t="shared" si="1"/>
        <v>659.57830574999991</v>
      </c>
      <c r="V17" s="19">
        <v>2117.0342336799995</v>
      </c>
      <c r="W17" s="21"/>
      <c r="X17" s="22"/>
      <c r="Y17" s="22"/>
      <c r="Z17" s="22"/>
      <c r="AA17" s="16">
        <f t="shared" si="2"/>
        <v>4030.4163174299993</v>
      </c>
      <c r="AB17" s="17">
        <f t="shared" si="3"/>
        <v>17401.42905757</v>
      </c>
    </row>
    <row r="18" spans="2:29" x14ac:dyDescent="0.25">
      <c r="B18" s="7" t="s">
        <v>60</v>
      </c>
      <c r="C18" s="8" t="s">
        <v>36</v>
      </c>
      <c r="D18" s="9">
        <v>2</v>
      </c>
      <c r="E18" s="10">
        <f>7675.6365*1.025</f>
        <v>7867.5274124999987</v>
      </c>
      <c r="F18" s="12">
        <v>1100</v>
      </c>
      <c r="G18" s="12">
        <v>1133</v>
      </c>
      <c r="H18" s="12">
        <v>1140</v>
      </c>
      <c r="I18" s="12"/>
      <c r="J18" s="12">
        <v>704.2</v>
      </c>
      <c r="K18" s="12">
        <f>595+100</f>
        <v>695</v>
      </c>
      <c r="L18" s="12">
        <v>150</v>
      </c>
      <c r="M18" s="19">
        <v>561</v>
      </c>
      <c r="N18" s="20">
        <f t="shared" si="9"/>
        <v>1049.0036549999998</v>
      </c>
      <c r="O18" s="20">
        <f t="shared" si="5"/>
        <v>2098.0073099999995</v>
      </c>
      <c r="P18" s="20">
        <f t="shared" si="6"/>
        <v>2098.0073099999995</v>
      </c>
      <c r="Q18" s="14">
        <f t="shared" si="0"/>
        <v>18595.745687500003</v>
      </c>
      <c r="R18" s="19">
        <f t="shared" si="8"/>
        <v>78.675274124999987</v>
      </c>
      <c r="S18" s="19">
        <f>1000</f>
        <v>1000</v>
      </c>
      <c r="T18" s="19">
        <f t="shared" si="7"/>
        <v>550.72691887499991</v>
      </c>
      <c r="U18" s="11">
        <f t="shared" si="1"/>
        <v>550.72691887499991</v>
      </c>
      <c r="V18" s="19">
        <v>1648.06267108</v>
      </c>
      <c r="W18" s="21"/>
      <c r="X18" s="22"/>
      <c r="Y18" s="22"/>
      <c r="Z18" s="22"/>
      <c r="AA18" s="16">
        <f t="shared" si="2"/>
        <v>3828.1917829549993</v>
      </c>
      <c r="AB18" s="17">
        <f t="shared" si="3"/>
        <v>14767.553904545002</v>
      </c>
    </row>
    <row r="19" spans="2:29" x14ac:dyDescent="0.25">
      <c r="B19" s="7" t="s">
        <v>60</v>
      </c>
      <c r="C19" s="8" t="s">
        <v>37</v>
      </c>
      <c r="D19" s="9">
        <v>2</v>
      </c>
      <c r="E19" s="10">
        <f>7675.6365*1.025</f>
        <v>7867.5274124999987</v>
      </c>
      <c r="F19" s="12">
        <v>1100</v>
      </c>
      <c r="G19" s="12">
        <v>1133</v>
      </c>
      <c r="H19" s="12">
        <v>1140</v>
      </c>
      <c r="I19" s="12"/>
      <c r="J19" s="12">
        <v>704.2</v>
      </c>
      <c r="K19" s="12">
        <f>595+100</f>
        <v>695</v>
      </c>
      <c r="L19" s="12">
        <v>150</v>
      </c>
      <c r="M19" s="19">
        <v>561</v>
      </c>
      <c r="N19" s="20">
        <f t="shared" si="9"/>
        <v>1049.0036549999998</v>
      </c>
      <c r="O19" s="20">
        <f t="shared" si="5"/>
        <v>2098.0073099999995</v>
      </c>
      <c r="P19" s="20">
        <f t="shared" si="6"/>
        <v>2098.0073099999995</v>
      </c>
      <c r="Q19" s="14">
        <f t="shared" si="0"/>
        <v>18595.745687500003</v>
      </c>
      <c r="R19" s="19">
        <f t="shared" si="8"/>
        <v>78.675274124999987</v>
      </c>
      <c r="S19" s="19">
        <f>500</f>
        <v>500</v>
      </c>
      <c r="T19" s="19">
        <f t="shared" si="7"/>
        <v>550.72691887499991</v>
      </c>
      <c r="U19" s="11">
        <f t="shared" si="1"/>
        <v>550.72691887499991</v>
      </c>
      <c r="V19" s="19">
        <v>1648.06267108</v>
      </c>
      <c r="W19" s="21"/>
      <c r="X19" s="22">
        <v>966.64</v>
      </c>
      <c r="Y19" s="22">
        <v>1933.28</v>
      </c>
      <c r="Z19" s="22">
        <v>1325</v>
      </c>
      <c r="AA19" s="16">
        <f t="shared" si="2"/>
        <v>7553.1117829549994</v>
      </c>
      <c r="AB19" s="17">
        <f t="shared" si="3"/>
        <v>11042.633904545004</v>
      </c>
    </row>
    <row r="20" spans="2:29" ht="22.5" x14ac:dyDescent="0.25">
      <c r="B20" s="7" t="s">
        <v>60</v>
      </c>
      <c r="C20" s="8" t="s">
        <v>38</v>
      </c>
      <c r="D20" s="9"/>
      <c r="E20" s="10">
        <f>7204.1865*1.025</f>
        <v>7384.2911624999988</v>
      </c>
      <c r="F20" s="12">
        <v>1100</v>
      </c>
      <c r="G20" s="12">
        <v>1133</v>
      </c>
      <c r="H20" s="12">
        <v>1140</v>
      </c>
      <c r="I20" s="12"/>
      <c r="J20" s="12">
        <v>658</v>
      </c>
      <c r="K20" s="12">
        <f>589+100</f>
        <v>689</v>
      </c>
      <c r="L20" s="12">
        <v>150</v>
      </c>
      <c r="M20" s="19">
        <v>536</v>
      </c>
      <c r="N20" s="20">
        <f t="shared" si="9"/>
        <v>984.57215499999984</v>
      </c>
      <c r="O20" s="20">
        <f t="shared" si="5"/>
        <v>1969.1443099999997</v>
      </c>
      <c r="P20" s="20">
        <f t="shared" si="6"/>
        <v>1969.1443099999997</v>
      </c>
      <c r="Q20" s="14">
        <f t="shared" si="0"/>
        <v>17713.151937499999</v>
      </c>
      <c r="R20" s="19">
        <f t="shared" si="8"/>
        <v>73.842911624999985</v>
      </c>
      <c r="S20" s="19">
        <f>500</f>
        <v>500</v>
      </c>
      <c r="T20" s="19">
        <f t="shared" si="7"/>
        <v>516.90038137499994</v>
      </c>
      <c r="U20" s="11">
        <f t="shared" si="1"/>
        <v>516.90038137499994</v>
      </c>
      <c r="V20" s="19">
        <v>1502.1920270799997</v>
      </c>
      <c r="W20" s="21"/>
      <c r="X20" s="22"/>
      <c r="Y20" s="22"/>
      <c r="Z20" s="22"/>
      <c r="AA20" s="16">
        <f t="shared" si="2"/>
        <v>3109.8357014549997</v>
      </c>
      <c r="AB20" s="17">
        <f t="shared" si="3"/>
        <v>14603.316236044999</v>
      </c>
    </row>
    <row r="21" spans="2:29" ht="22.5" x14ac:dyDescent="0.25">
      <c r="B21" s="7" t="s">
        <v>60</v>
      </c>
      <c r="C21" s="8" t="s">
        <v>39</v>
      </c>
      <c r="D21" s="9">
        <v>1</v>
      </c>
      <c r="E21" s="10">
        <f>7204.1865*1.025</f>
        <v>7384.2911624999988</v>
      </c>
      <c r="F21" s="12">
        <v>1100</v>
      </c>
      <c r="G21" s="12">
        <v>1133</v>
      </c>
      <c r="H21" s="12">
        <v>1140</v>
      </c>
      <c r="I21" s="12"/>
      <c r="J21" s="12">
        <v>658</v>
      </c>
      <c r="K21" s="12">
        <f>589+100</f>
        <v>689</v>
      </c>
      <c r="L21" s="12"/>
      <c r="M21" s="19">
        <v>536</v>
      </c>
      <c r="N21" s="20">
        <f t="shared" si="9"/>
        <v>984.57215499999984</v>
      </c>
      <c r="O21" s="20">
        <f t="shared" si="5"/>
        <v>1969.1443099999997</v>
      </c>
      <c r="P21" s="20">
        <f t="shared" si="6"/>
        <v>1969.1443099999997</v>
      </c>
      <c r="Q21" s="14">
        <f t="shared" si="0"/>
        <v>17563.151937499999</v>
      </c>
      <c r="R21" s="19"/>
      <c r="S21" s="19"/>
      <c r="T21" s="19">
        <f t="shared" si="7"/>
        <v>516.90038137499994</v>
      </c>
      <c r="U21" s="11">
        <f t="shared" si="1"/>
        <v>516.90038137499994</v>
      </c>
      <c r="V21" s="19">
        <v>1470.1520270799997</v>
      </c>
      <c r="W21" s="21"/>
      <c r="X21" s="22"/>
      <c r="Y21" s="22"/>
      <c r="Z21" s="22"/>
      <c r="AA21" s="16">
        <f t="shared" si="2"/>
        <v>2503.9527898299993</v>
      </c>
      <c r="AB21" s="17">
        <f t="shared" si="3"/>
        <v>15059.199147669999</v>
      </c>
    </row>
    <row r="22" spans="2:29" ht="22.5" x14ac:dyDescent="0.25">
      <c r="B22" s="7" t="s">
        <v>61</v>
      </c>
      <c r="C22" s="8" t="s">
        <v>40</v>
      </c>
      <c r="D22" s="9"/>
      <c r="E22" s="10">
        <f>6069.96</f>
        <v>6069.96</v>
      </c>
      <c r="F22" s="25"/>
      <c r="G22" s="25"/>
      <c r="H22" s="25"/>
      <c r="I22" s="25"/>
      <c r="J22" s="26"/>
      <c r="K22" s="26"/>
      <c r="L22" s="25"/>
      <c r="M22" s="26"/>
      <c r="N22" s="27"/>
      <c r="O22" s="27"/>
      <c r="P22" s="27"/>
      <c r="Q22" s="14">
        <f t="shared" si="0"/>
        <v>6069.96</v>
      </c>
      <c r="R22" s="19"/>
      <c r="S22" s="26"/>
      <c r="T22" s="26"/>
      <c r="U22" s="11"/>
      <c r="V22" s="19">
        <v>527.76699999999994</v>
      </c>
      <c r="W22" s="21"/>
      <c r="X22" s="22"/>
      <c r="Y22" s="22"/>
      <c r="Z22" s="22"/>
      <c r="AA22" s="16">
        <f t="shared" si="2"/>
        <v>527.76699999999994</v>
      </c>
      <c r="AB22" s="17">
        <f t="shared" si="3"/>
        <v>5542.1930000000002</v>
      </c>
    </row>
    <row r="23" spans="2:29" x14ac:dyDescent="0.25">
      <c r="B23" s="7" t="s">
        <v>61</v>
      </c>
      <c r="C23" s="23" t="s">
        <v>41</v>
      </c>
      <c r="D23" s="29"/>
      <c r="E23" s="30">
        <f>3018.5</f>
        <v>3018.5</v>
      </c>
      <c r="F23" s="25"/>
      <c r="G23" s="25"/>
      <c r="H23" s="25"/>
      <c r="I23" s="25"/>
      <c r="J23" s="26"/>
      <c r="K23" s="26"/>
      <c r="L23" s="25"/>
      <c r="M23" s="26"/>
      <c r="N23" s="26"/>
      <c r="O23" s="27"/>
      <c r="P23" s="27"/>
      <c r="Q23" s="14">
        <f t="shared" si="0"/>
        <v>3018.5</v>
      </c>
      <c r="R23" s="19"/>
      <c r="S23" s="26"/>
      <c r="T23" s="26"/>
      <c r="U23" s="11"/>
      <c r="V23" s="19">
        <v>176.47039999999998</v>
      </c>
      <c r="W23" s="21"/>
      <c r="X23" s="22"/>
      <c r="Y23" s="22"/>
      <c r="Z23" s="22"/>
      <c r="AA23" s="16">
        <f t="shared" si="2"/>
        <v>176.47039999999998</v>
      </c>
      <c r="AB23" s="17">
        <f t="shared" si="3"/>
        <v>2842.0295999999998</v>
      </c>
    </row>
    <row r="24" spans="2:29" ht="15.75" thickBot="1" x14ac:dyDescent="0.3">
      <c r="B24" s="31" t="s">
        <v>42</v>
      </c>
      <c r="C24" s="32"/>
      <c r="D24" s="33"/>
      <c r="E24" s="34">
        <f t="shared" ref="E24:X24" si="10">SUM(E3:E23)</f>
        <v>238122.87256449627</v>
      </c>
      <c r="F24" s="34">
        <f t="shared" si="10"/>
        <v>17400</v>
      </c>
      <c r="G24" s="34">
        <f t="shared" si="10"/>
        <v>17196</v>
      </c>
      <c r="H24" s="34">
        <f t="shared" si="10"/>
        <v>17280</v>
      </c>
      <c r="I24" s="34">
        <f t="shared" si="10"/>
        <v>12200</v>
      </c>
      <c r="J24" s="34">
        <f t="shared" si="10"/>
        <v>25470.2</v>
      </c>
      <c r="K24" s="34">
        <f t="shared" si="10"/>
        <v>11587</v>
      </c>
      <c r="L24" s="34">
        <f t="shared" si="10"/>
        <v>2125</v>
      </c>
      <c r="M24" s="34">
        <f t="shared" si="10"/>
        <v>8277</v>
      </c>
      <c r="N24" s="34">
        <f t="shared" si="10"/>
        <v>23988.360341932836</v>
      </c>
      <c r="O24" s="34">
        <f t="shared" si="10"/>
        <v>47976.720683865671</v>
      </c>
      <c r="P24" s="34">
        <f t="shared" si="10"/>
        <v>47976.720683865671</v>
      </c>
      <c r="Q24" s="34">
        <f t="shared" si="10"/>
        <v>469599.87427416042</v>
      </c>
      <c r="R24" s="34">
        <f t="shared" si="10"/>
        <v>1010.0716027499998</v>
      </c>
      <c r="S24" s="34">
        <f t="shared" si="10"/>
        <v>4000</v>
      </c>
      <c r="T24" s="34">
        <f t="shared" si="10"/>
        <v>8645.9360795147404</v>
      </c>
      <c r="U24" s="34">
        <f t="shared" si="10"/>
        <v>16032.408879514742</v>
      </c>
      <c r="V24" s="34">
        <f t="shared" si="10"/>
        <v>54234.492286146022</v>
      </c>
      <c r="W24" s="34">
        <f t="shared" si="10"/>
        <v>2583</v>
      </c>
      <c r="X24" s="34">
        <f t="shared" si="10"/>
        <v>1933.28</v>
      </c>
      <c r="Y24" s="34">
        <f t="shared" ref="Y24:Z24" si="11">SUM(Y3:Y23)</f>
        <v>1933.28</v>
      </c>
      <c r="Z24" s="34">
        <f t="shared" si="11"/>
        <v>1325</v>
      </c>
      <c r="AA24" s="34">
        <f>SUM(AA3:AA23)</f>
        <v>91697.468847925542</v>
      </c>
      <c r="AB24" s="34">
        <f>SUM(AB3:AB23)</f>
        <v>377902.40542623494</v>
      </c>
      <c r="AC24" s="18"/>
    </row>
    <row r="25" spans="2:29" x14ac:dyDescent="0.25"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30" spans="2:29" x14ac:dyDescent="0.25">
      <c r="B30" t="s">
        <v>58</v>
      </c>
      <c r="C30" t="s">
        <v>54</v>
      </c>
    </row>
    <row r="31" spans="2:29" x14ac:dyDescent="0.25">
      <c r="B31" t="s">
        <v>59</v>
      </c>
      <c r="C31" t="s">
        <v>55</v>
      </c>
    </row>
    <row r="32" spans="2:29" x14ac:dyDescent="0.25">
      <c r="B32" t="s">
        <v>60</v>
      </c>
      <c r="C32" t="s">
        <v>62</v>
      </c>
    </row>
    <row r="33" spans="2:3" x14ac:dyDescent="0.25">
      <c r="B33" t="s">
        <v>61</v>
      </c>
      <c r="C33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3"/>
  <sheetViews>
    <sheetView topLeftCell="A4" workbookViewId="0">
      <selection activeCell="W3" sqref="W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3" width="8.7109375" customWidth="1"/>
    <col min="14" max="14" width="12.5703125" bestFit="1" customWidth="1"/>
    <col min="15" max="15" width="7.42578125" customWidth="1"/>
    <col min="16" max="17" width="8.7109375" bestFit="1" customWidth="1"/>
    <col min="18" max="18" width="9" customWidth="1"/>
    <col min="19" max="19" width="9.5703125" customWidth="1"/>
    <col min="20" max="20" width="7.85546875" customWidth="1"/>
    <col min="21" max="23" width="10.140625" customWidth="1"/>
    <col min="24" max="24" width="9.5703125" customWidth="1"/>
    <col min="25" max="25" width="12.5703125" bestFit="1" customWidth="1"/>
  </cols>
  <sheetData>
    <row r="1" spans="2:25" ht="18.75" x14ac:dyDescent="0.25"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2:25" ht="19.5" thickBot="1" x14ac:dyDescent="0.3">
      <c r="E2" s="2" t="s">
        <v>90</v>
      </c>
      <c r="F2" s="1"/>
      <c r="G2" s="1"/>
      <c r="H2" s="1"/>
      <c r="I2" s="1"/>
      <c r="J2" s="1"/>
      <c r="K2" s="1"/>
      <c r="L2" s="1"/>
      <c r="M2" s="1"/>
    </row>
    <row r="3" spans="2:25" ht="48.75" customHeight="1" x14ac:dyDescent="0.25">
      <c r="B3" s="40"/>
      <c r="C3" s="40"/>
      <c r="D3" s="3" t="s">
        <v>1</v>
      </c>
      <c r="E3" s="44" t="s">
        <v>2</v>
      </c>
      <c r="F3" s="45" t="s">
        <v>43</v>
      </c>
      <c r="G3" s="45" t="s">
        <v>44</v>
      </c>
      <c r="H3" s="45" t="s">
        <v>45</v>
      </c>
      <c r="I3" s="45" t="s">
        <v>46</v>
      </c>
      <c r="J3" s="45" t="s">
        <v>47</v>
      </c>
      <c r="K3" s="45" t="s">
        <v>48</v>
      </c>
      <c r="L3" s="45" t="s">
        <v>9</v>
      </c>
      <c r="M3" s="45" t="s">
        <v>49</v>
      </c>
      <c r="N3" s="41"/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5" t="s">
        <v>18</v>
      </c>
      <c r="U3" s="42" t="s">
        <v>0</v>
      </c>
      <c r="V3" s="42" t="s">
        <v>52</v>
      </c>
      <c r="W3" s="42" t="s">
        <v>91</v>
      </c>
      <c r="X3" s="42"/>
      <c r="Y3" s="43"/>
    </row>
    <row r="4" spans="2:25" x14ac:dyDescent="0.25">
      <c r="B4" s="7" t="s">
        <v>58</v>
      </c>
      <c r="C4" s="8" t="s">
        <v>21</v>
      </c>
      <c r="D4" s="9">
        <v>17</v>
      </c>
      <c r="E4" s="10">
        <f>38573.38/2</f>
        <v>19286.689999999999</v>
      </c>
      <c r="F4" s="12"/>
      <c r="G4" s="11">
        <v>300</v>
      </c>
      <c r="H4" s="12"/>
      <c r="I4" s="11"/>
      <c r="J4" s="11"/>
      <c r="K4" s="11"/>
      <c r="L4" s="11"/>
      <c r="M4" s="11"/>
      <c r="N4" s="14">
        <f t="shared" ref="N4:N24" si="0">SUM(E4:M4)</f>
        <v>19586.689999999999</v>
      </c>
      <c r="O4" s="11"/>
      <c r="P4" s="11"/>
      <c r="Q4" s="11"/>
      <c r="R4" s="11">
        <f t="shared" ref="R4:R22" si="1">(E4*0.07)</f>
        <v>1350.0683000000001</v>
      </c>
      <c r="S4" s="11">
        <v>3400.1570879999995</v>
      </c>
      <c r="T4" s="15"/>
      <c r="U4" s="16"/>
      <c r="V4" s="16"/>
      <c r="W4" s="16"/>
      <c r="X4" s="16">
        <f t="shared" ref="X4:X24" si="2">SUM(O4:W4)</f>
        <v>4750.2253879999998</v>
      </c>
      <c r="Y4" s="17">
        <f t="shared" ref="Y4:Y24" si="3">+N4-X4</f>
        <v>14836.464612</v>
      </c>
    </row>
    <row r="5" spans="2:25" x14ac:dyDescent="0.25">
      <c r="B5" s="7" t="s">
        <v>58</v>
      </c>
      <c r="C5" s="8" t="s">
        <v>22</v>
      </c>
      <c r="D5" s="9">
        <v>14</v>
      </c>
      <c r="E5" s="10">
        <f>14917.51</f>
        <v>14917.51</v>
      </c>
      <c r="F5" s="12"/>
      <c r="G5" s="19">
        <v>300</v>
      </c>
      <c r="H5" s="12"/>
      <c r="I5" s="19"/>
      <c r="J5" s="19"/>
      <c r="K5" s="19"/>
      <c r="L5" s="19"/>
      <c r="M5" s="19"/>
      <c r="N5" s="14">
        <f t="shared" si="0"/>
        <v>15217.51</v>
      </c>
      <c r="O5" s="19"/>
      <c r="P5" s="19"/>
      <c r="Q5" s="19"/>
      <c r="R5" s="11">
        <f t="shared" si="1"/>
        <v>1044.2257000000002</v>
      </c>
      <c r="S5" s="19">
        <v>2384.42164</v>
      </c>
      <c r="T5" s="21"/>
      <c r="U5" s="22"/>
      <c r="V5" s="22"/>
      <c r="W5" s="22"/>
      <c r="X5" s="16">
        <f t="shared" si="2"/>
        <v>3428.6473400000004</v>
      </c>
      <c r="Y5" s="17">
        <f t="shared" si="3"/>
        <v>11788.862659999999</v>
      </c>
    </row>
    <row r="6" spans="2:25" x14ac:dyDescent="0.25">
      <c r="B6" s="7" t="s">
        <v>58</v>
      </c>
      <c r="C6" s="8" t="s">
        <v>23</v>
      </c>
      <c r="D6" s="9">
        <v>14</v>
      </c>
      <c r="E6" s="10">
        <f>14917.51</f>
        <v>14917.51</v>
      </c>
      <c r="F6" s="12"/>
      <c r="G6" s="19">
        <v>300</v>
      </c>
      <c r="H6" s="12"/>
      <c r="I6" s="19"/>
      <c r="J6" s="19"/>
      <c r="K6" s="19"/>
      <c r="L6" s="19"/>
      <c r="M6" s="19"/>
      <c r="N6" s="14">
        <f t="shared" si="0"/>
        <v>15217.51</v>
      </c>
      <c r="O6" s="19"/>
      <c r="P6" s="19"/>
      <c r="Q6" s="19"/>
      <c r="R6" s="11">
        <f t="shared" si="1"/>
        <v>1044.2257000000002</v>
      </c>
      <c r="S6" s="19">
        <v>2384.42164</v>
      </c>
      <c r="T6" s="21"/>
      <c r="U6" s="22"/>
      <c r="V6" s="22"/>
      <c r="W6" s="22"/>
      <c r="X6" s="16">
        <f t="shared" si="2"/>
        <v>3428.6473400000004</v>
      </c>
      <c r="Y6" s="17">
        <f t="shared" si="3"/>
        <v>11788.862659999999</v>
      </c>
    </row>
    <row r="7" spans="2:25" x14ac:dyDescent="0.25">
      <c r="B7" s="7" t="s">
        <v>59</v>
      </c>
      <c r="C7" s="8" t="s">
        <v>24</v>
      </c>
      <c r="D7" s="9">
        <v>13</v>
      </c>
      <c r="E7" s="10">
        <f>15022.1</f>
        <v>15022.1</v>
      </c>
      <c r="F7" s="37">
        <v>900</v>
      </c>
      <c r="G7" s="37">
        <v>900</v>
      </c>
      <c r="H7" s="37">
        <v>900</v>
      </c>
      <c r="I7" s="12">
        <v>1000</v>
      </c>
      <c r="J7" s="19"/>
      <c r="K7" s="19">
        <v>750</v>
      </c>
      <c r="L7" s="12"/>
      <c r="M7" s="19"/>
      <c r="N7" s="14">
        <f t="shared" si="0"/>
        <v>19472.099999999999</v>
      </c>
      <c r="O7" s="19"/>
      <c r="P7" s="19"/>
      <c r="Q7" s="19"/>
      <c r="R7" s="11">
        <f t="shared" si="1"/>
        <v>1051.547</v>
      </c>
      <c r="S7" s="19">
        <v>2779.3255199999994</v>
      </c>
      <c r="T7" s="21"/>
      <c r="U7" s="22"/>
      <c r="V7" s="22"/>
      <c r="W7" s="22"/>
      <c r="X7" s="16">
        <f t="shared" si="2"/>
        <v>3830.8725199999994</v>
      </c>
      <c r="Y7" s="17">
        <f t="shared" si="3"/>
        <v>15641.22748</v>
      </c>
    </row>
    <row r="8" spans="2:25" ht="15" customHeight="1" x14ac:dyDescent="0.25">
      <c r="B8" s="7" t="s">
        <v>59</v>
      </c>
      <c r="C8" s="8" t="s">
        <v>25</v>
      </c>
      <c r="D8" s="9">
        <v>13</v>
      </c>
      <c r="E8" s="10">
        <f>15022.1</f>
        <v>15022.1</v>
      </c>
      <c r="F8" s="37">
        <v>900</v>
      </c>
      <c r="G8" s="37">
        <v>900</v>
      </c>
      <c r="H8" s="37">
        <v>900</v>
      </c>
      <c r="I8" s="12">
        <v>1000</v>
      </c>
      <c r="J8" s="19"/>
      <c r="K8" s="19">
        <v>750</v>
      </c>
      <c r="L8" s="12"/>
      <c r="M8" s="19"/>
      <c r="N8" s="14">
        <f t="shared" si="0"/>
        <v>19472.099999999999</v>
      </c>
      <c r="O8" s="19"/>
      <c r="P8" s="19"/>
      <c r="Q8" s="19"/>
      <c r="R8" s="11">
        <f t="shared" si="1"/>
        <v>1051.547</v>
      </c>
      <c r="S8" s="19">
        <v>2779.3255199999994</v>
      </c>
      <c r="T8" s="21"/>
      <c r="U8" s="22"/>
      <c r="V8" s="22"/>
      <c r="W8" s="22"/>
      <c r="X8" s="16">
        <f t="shared" si="2"/>
        <v>3830.8725199999994</v>
      </c>
      <c r="Y8" s="17">
        <f t="shared" si="3"/>
        <v>15641.22748</v>
      </c>
    </row>
    <row r="9" spans="2:25" ht="15" customHeight="1" x14ac:dyDescent="0.25">
      <c r="B9" s="7" t="s">
        <v>59</v>
      </c>
      <c r="C9" s="8" t="s">
        <v>26</v>
      </c>
      <c r="D9" s="9">
        <v>13</v>
      </c>
      <c r="E9" s="10">
        <f>15022.1</f>
        <v>15022.1</v>
      </c>
      <c r="F9" s="37">
        <v>900</v>
      </c>
      <c r="G9" s="37">
        <v>900</v>
      </c>
      <c r="H9" s="37">
        <v>900</v>
      </c>
      <c r="I9" s="12">
        <v>1000</v>
      </c>
      <c r="J9" s="19"/>
      <c r="K9" s="19">
        <v>750</v>
      </c>
      <c r="L9" s="12"/>
      <c r="M9" s="19"/>
      <c r="N9" s="14">
        <f t="shared" si="0"/>
        <v>19472.099999999999</v>
      </c>
      <c r="O9" s="19"/>
      <c r="P9" s="19"/>
      <c r="Q9" s="19"/>
      <c r="R9" s="11">
        <f t="shared" si="1"/>
        <v>1051.547</v>
      </c>
      <c r="S9" s="19">
        <v>2779.3255199999994</v>
      </c>
      <c r="T9" s="21"/>
      <c r="U9" s="22"/>
      <c r="V9" s="22"/>
      <c r="W9" s="22"/>
      <c r="X9" s="16">
        <f t="shared" si="2"/>
        <v>3830.8725199999994</v>
      </c>
      <c r="Y9" s="17">
        <f t="shared" si="3"/>
        <v>15641.22748</v>
      </c>
    </row>
    <row r="10" spans="2:25" ht="15" customHeight="1" x14ac:dyDescent="0.25">
      <c r="B10" s="7" t="s">
        <v>59</v>
      </c>
      <c r="C10" s="8" t="s">
        <v>27</v>
      </c>
      <c r="D10" s="9">
        <v>9</v>
      </c>
      <c r="E10" s="10">
        <f>11333.03</f>
        <v>11333.03</v>
      </c>
      <c r="F10" s="37">
        <v>900</v>
      </c>
      <c r="G10" s="37">
        <v>900</v>
      </c>
      <c r="H10" s="37">
        <v>900</v>
      </c>
      <c r="I10" s="12">
        <v>1000</v>
      </c>
      <c r="J10" s="19"/>
      <c r="K10" s="19">
        <v>566</v>
      </c>
      <c r="L10" s="12"/>
      <c r="M10" s="19"/>
      <c r="N10" s="14">
        <f t="shared" si="0"/>
        <v>15599.03</v>
      </c>
      <c r="O10" s="19"/>
      <c r="P10" s="19"/>
      <c r="Q10" s="19"/>
      <c r="R10" s="11">
        <f t="shared" si="1"/>
        <v>793.3121000000001</v>
      </c>
      <c r="S10" s="19">
        <v>1946.2255120000004</v>
      </c>
      <c r="T10" s="21"/>
      <c r="U10" s="22"/>
      <c r="V10" s="22"/>
      <c r="W10" s="22"/>
      <c r="X10" s="16">
        <f t="shared" si="2"/>
        <v>2739.5376120000005</v>
      </c>
      <c r="Y10" s="17">
        <f t="shared" si="3"/>
        <v>12859.492388000001</v>
      </c>
    </row>
    <row r="11" spans="2:25" ht="15" customHeight="1" x14ac:dyDescent="0.25">
      <c r="B11" s="7" t="s">
        <v>60</v>
      </c>
      <c r="C11" s="8" t="s">
        <v>28</v>
      </c>
      <c r="D11" s="9">
        <v>10</v>
      </c>
      <c r="E11" s="10">
        <f>14753.0937824354*1.025</f>
        <v>15121.921126996283</v>
      </c>
      <c r="F11" s="12">
        <v>1133</v>
      </c>
      <c r="G11" s="12">
        <v>1133</v>
      </c>
      <c r="H11" s="12">
        <v>1133</v>
      </c>
      <c r="I11" s="12">
        <v>1000</v>
      </c>
      <c r="J11" s="19"/>
      <c r="K11" s="19">
        <v>606</v>
      </c>
      <c r="L11" s="12"/>
      <c r="M11" s="19">
        <v>999</v>
      </c>
      <c r="N11" s="14">
        <f t="shared" si="0"/>
        <v>21125.921126996283</v>
      </c>
      <c r="O11" s="19"/>
      <c r="P11" s="19"/>
      <c r="Q11" s="19">
        <f t="shared" ref="Q11:Q22" si="4">(E11*0.07)</f>
        <v>1058.5344788897398</v>
      </c>
      <c r="R11" s="11">
        <f t="shared" si="1"/>
        <v>1058.5344788897398</v>
      </c>
      <c r="S11" s="19">
        <v>2958.1530490695259</v>
      </c>
      <c r="T11" s="21"/>
      <c r="U11" s="22"/>
      <c r="V11" s="22"/>
      <c r="W11" s="22"/>
      <c r="X11" s="16">
        <f t="shared" si="2"/>
        <v>5075.222006849006</v>
      </c>
      <c r="Y11" s="17">
        <f t="shared" si="3"/>
        <v>16050.699120147277</v>
      </c>
    </row>
    <row r="12" spans="2:25" ht="15" customHeight="1" x14ac:dyDescent="0.25">
      <c r="B12" s="7" t="s">
        <v>60</v>
      </c>
      <c r="C12" s="8" t="s">
        <v>29</v>
      </c>
      <c r="D12" s="9">
        <v>8</v>
      </c>
      <c r="E12" s="10">
        <f>12779.3925*1.025</f>
        <v>13098.877312499999</v>
      </c>
      <c r="F12" s="12">
        <v>1133</v>
      </c>
      <c r="G12" s="12">
        <v>1133</v>
      </c>
      <c r="H12" s="12">
        <v>1133</v>
      </c>
      <c r="I12" s="12">
        <v>1000</v>
      </c>
      <c r="J12" s="11"/>
      <c r="K12" s="19">
        <v>525</v>
      </c>
      <c r="L12" s="12">
        <f>225</f>
        <v>225</v>
      </c>
      <c r="M12" s="12">
        <v>925</v>
      </c>
      <c r="N12" s="14">
        <f t="shared" si="0"/>
        <v>19172.877312500001</v>
      </c>
      <c r="O12" s="19">
        <f t="shared" ref="O12:O21" si="5">(E12*0.01)</f>
        <v>130.98877312499999</v>
      </c>
      <c r="P12" s="19">
        <f>1000</f>
        <v>1000</v>
      </c>
      <c r="Q12" s="19">
        <f t="shared" si="4"/>
        <v>916.92141187499999</v>
      </c>
      <c r="R12" s="11">
        <f t="shared" si="1"/>
        <v>916.92141187499999</v>
      </c>
      <c r="S12" s="19">
        <v>2517.0251438999999</v>
      </c>
      <c r="T12" s="21"/>
      <c r="U12" s="22">
        <v>966.64</v>
      </c>
      <c r="V12" s="22"/>
      <c r="W12" s="22"/>
      <c r="X12" s="16">
        <f t="shared" si="2"/>
        <v>6448.496740775</v>
      </c>
      <c r="Y12" s="17">
        <f t="shared" si="3"/>
        <v>12724.380571725</v>
      </c>
    </row>
    <row r="13" spans="2:25" ht="22.5" x14ac:dyDescent="0.25">
      <c r="B13" s="7" t="s">
        <v>60</v>
      </c>
      <c r="C13" s="23" t="s">
        <v>30</v>
      </c>
      <c r="D13" s="24">
        <v>7</v>
      </c>
      <c r="E13" s="10">
        <f>11939.2455*1.025</f>
        <v>12237.7266375</v>
      </c>
      <c r="F13" s="12">
        <v>1133</v>
      </c>
      <c r="G13" s="12">
        <v>1133</v>
      </c>
      <c r="H13" s="12">
        <v>1133</v>
      </c>
      <c r="I13" s="12">
        <v>1000</v>
      </c>
      <c r="J13" s="11">
        <v>295</v>
      </c>
      <c r="K13" s="19">
        <v>491</v>
      </c>
      <c r="L13" s="19">
        <v>325</v>
      </c>
      <c r="M13" s="19">
        <v>893</v>
      </c>
      <c r="N13" s="14">
        <f t="shared" si="0"/>
        <v>18640.7266375</v>
      </c>
      <c r="O13" s="19">
        <f t="shared" si="5"/>
        <v>122.377266375</v>
      </c>
      <c r="P13" s="19"/>
      <c r="Q13" s="19">
        <f t="shared" si="4"/>
        <v>856.64086462500006</v>
      </c>
      <c r="R13" s="11">
        <f t="shared" si="1"/>
        <v>856.64086462500006</v>
      </c>
      <c r="S13" s="19">
        <v>2377.52591377</v>
      </c>
      <c r="T13" s="22"/>
      <c r="U13" s="21"/>
      <c r="V13" s="21"/>
      <c r="W13" s="21"/>
      <c r="X13" s="16">
        <f t="shared" si="2"/>
        <v>4213.1849093950004</v>
      </c>
      <c r="Y13" s="17">
        <f t="shared" si="3"/>
        <v>14427.541728104999</v>
      </c>
    </row>
    <row r="14" spans="2:25" x14ac:dyDescent="0.25">
      <c r="B14" s="7" t="s">
        <v>60</v>
      </c>
      <c r="C14" s="23" t="s">
        <v>31</v>
      </c>
      <c r="D14" s="24">
        <v>7</v>
      </c>
      <c r="E14" s="10">
        <f>11939.2455*1.025</f>
        <v>12237.7266375</v>
      </c>
      <c r="F14" s="12">
        <v>1133</v>
      </c>
      <c r="G14" s="12">
        <v>1133</v>
      </c>
      <c r="H14" s="12">
        <v>1133</v>
      </c>
      <c r="I14" s="12">
        <v>1000</v>
      </c>
      <c r="J14" s="11">
        <v>295</v>
      </c>
      <c r="K14" s="19">
        <v>491</v>
      </c>
      <c r="L14" s="19"/>
      <c r="M14" s="19">
        <v>893</v>
      </c>
      <c r="N14" s="14">
        <f t="shared" si="0"/>
        <v>18315.7266375</v>
      </c>
      <c r="O14" s="19">
        <f t="shared" si="5"/>
        <v>122.377266375</v>
      </c>
      <c r="P14" s="19"/>
      <c r="Q14" s="19">
        <f t="shared" si="4"/>
        <v>856.64086462500006</v>
      </c>
      <c r="R14" s="11">
        <f t="shared" si="1"/>
        <v>856.64086462500006</v>
      </c>
      <c r="S14" s="19">
        <v>2308.1059137700004</v>
      </c>
      <c r="T14" s="21"/>
      <c r="U14" s="21"/>
      <c r="V14" s="21"/>
      <c r="W14" s="21"/>
      <c r="X14" s="16">
        <f t="shared" si="2"/>
        <v>4143.7649093950004</v>
      </c>
      <c r="Y14" s="17">
        <f t="shared" si="3"/>
        <v>14171.961728105</v>
      </c>
    </row>
    <row r="15" spans="2:25" x14ac:dyDescent="0.25">
      <c r="B15" s="7" t="s">
        <v>60</v>
      </c>
      <c r="C15" s="8" t="s">
        <v>32</v>
      </c>
      <c r="D15" s="9">
        <v>5</v>
      </c>
      <c r="E15" s="10">
        <f>10472.385*1.025</f>
        <v>10734.194625</v>
      </c>
      <c r="F15" s="12">
        <v>1133</v>
      </c>
      <c r="G15" s="12">
        <v>1133</v>
      </c>
      <c r="H15" s="12">
        <v>1133</v>
      </c>
      <c r="I15" s="12">
        <v>1000</v>
      </c>
      <c r="J15" s="12">
        <v>260</v>
      </c>
      <c r="K15" s="19"/>
      <c r="L15" s="19">
        <f>525</f>
        <v>525</v>
      </c>
      <c r="M15" s="19">
        <v>838</v>
      </c>
      <c r="N15" s="14">
        <f t="shared" si="0"/>
        <v>16756.194625</v>
      </c>
      <c r="O15" s="19">
        <f t="shared" si="5"/>
        <v>107.34194625000001</v>
      </c>
      <c r="P15" s="19"/>
      <c r="Q15" s="19">
        <f t="shared" si="4"/>
        <v>751.39362375000007</v>
      </c>
      <c r="R15" s="11">
        <f t="shared" si="1"/>
        <v>751.39362375000007</v>
      </c>
      <c r="S15" s="19">
        <v>2037.0406759000002</v>
      </c>
      <c r="T15" s="21">
        <f>2583</f>
        <v>2583</v>
      </c>
      <c r="U15" s="22"/>
      <c r="V15" s="22"/>
      <c r="W15" s="22"/>
      <c r="X15" s="16">
        <f t="shared" si="2"/>
        <v>6230.1698696500007</v>
      </c>
      <c r="Y15" s="17">
        <f t="shared" si="3"/>
        <v>10526.024755349999</v>
      </c>
    </row>
    <row r="16" spans="2:25" x14ac:dyDescent="0.25">
      <c r="B16" s="7" t="s">
        <v>60</v>
      </c>
      <c r="C16" s="8" t="s">
        <v>33</v>
      </c>
      <c r="D16" s="9">
        <v>5</v>
      </c>
      <c r="E16" s="10">
        <f>10472.385*1.025</f>
        <v>10734.194625</v>
      </c>
      <c r="F16" s="12">
        <v>1133</v>
      </c>
      <c r="G16" s="12">
        <v>1133</v>
      </c>
      <c r="H16" s="12">
        <v>1133</v>
      </c>
      <c r="I16" s="12">
        <v>1000</v>
      </c>
      <c r="J16" s="12">
        <v>260</v>
      </c>
      <c r="K16" s="19"/>
      <c r="L16" s="12"/>
      <c r="M16" s="19">
        <v>838</v>
      </c>
      <c r="N16" s="14">
        <f t="shared" si="0"/>
        <v>16231.194625</v>
      </c>
      <c r="O16" s="19">
        <f t="shared" si="5"/>
        <v>107.34194625000001</v>
      </c>
      <c r="P16" s="19">
        <f>500</f>
        <v>500</v>
      </c>
      <c r="Q16" s="19">
        <f t="shared" si="4"/>
        <v>751.39362375000007</v>
      </c>
      <c r="R16" s="11">
        <f t="shared" si="1"/>
        <v>751.39362375000007</v>
      </c>
      <c r="S16" s="19">
        <v>1924.9006759000004</v>
      </c>
      <c r="T16" s="21"/>
      <c r="U16" s="22"/>
      <c r="V16" s="22"/>
      <c r="W16" s="22"/>
      <c r="X16" s="16">
        <f t="shared" si="2"/>
        <v>4035.0298696500004</v>
      </c>
      <c r="Y16" s="17">
        <f t="shared" si="3"/>
        <v>12196.164755350001</v>
      </c>
    </row>
    <row r="17" spans="2:25" x14ac:dyDescent="0.25">
      <c r="B17" s="7" t="s">
        <v>60</v>
      </c>
      <c r="C17" s="8" t="s">
        <v>34</v>
      </c>
      <c r="D17" s="9">
        <v>4</v>
      </c>
      <c r="E17" s="10">
        <f>9192.729*1.025</f>
        <v>9422.5472249999984</v>
      </c>
      <c r="F17" s="12">
        <v>1133</v>
      </c>
      <c r="G17" s="12">
        <v>1133</v>
      </c>
      <c r="H17" s="12">
        <v>1133</v>
      </c>
      <c r="I17" s="12">
        <v>1000</v>
      </c>
      <c r="J17" s="12">
        <v>230</v>
      </c>
      <c r="K17" s="19"/>
      <c r="L17" s="12">
        <v>150</v>
      </c>
      <c r="M17" s="19">
        <v>790</v>
      </c>
      <c r="N17" s="14">
        <f t="shared" si="0"/>
        <v>14991.547224999998</v>
      </c>
      <c r="O17" s="19">
        <f t="shared" si="5"/>
        <v>94.225472249999981</v>
      </c>
      <c r="P17" s="19"/>
      <c r="Q17" s="19">
        <f t="shared" si="4"/>
        <v>659.57830574999991</v>
      </c>
      <c r="R17" s="11">
        <f t="shared" si="1"/>
        <v>659.57830574999991</v>
      </c>
      <c r="S17" s="19">
        <v>1668.4423912599998</v>
      </c>
      <c r="T17" s="21"/>
      <c r="U17" s="22"/>
      <c r="V17" s="22"/>
      <c r="W17" s="22"/>
      <c r="X17" s="16">
        <f t="shared" si="2"/>
        <v>3081.8244750099993</v>
      </c>
      <c r="Y17" s="17">
        <f t="shared" si="3"/>
        <v>11909.72274999</v>
      </c>
    </row>
    <row r="18" spans="2:25" x14ac:dyDescent="0.25">
      <c r="B18" s="7" t="s">
        <v>60</v>
      </c>
      <c r="C18" s="8" t="s">
        <v>35</v>
      </c>
      <c r="D18" s="9">
        <v>4</v>
      </c>
      <c r="E18" s="10">
        <f>9192.729*1.025</f>
        <v>9422.5472249999984</v>
      </c>
      <c r="F18" s="12">
        <v>1133</v>
      </c>
      <c r="G18" s="12">
        <v>1133</v>
      </c>
      <c r="H18" s="12">
        <v>1133</v>
      </c>
      <c r="I18" s="12">
        <v>1000</v>
      </c>
      <c r="J18" s="12">
        <v>230</v>
      </c>
      <c r="K18" s="19"/>
      <c r="L18" s="12">
        <v>150</v>
      </c>
      <c r="M18" s="19">
        <v>790</v>
      </c>
      <c r="N18" s="14">
        <f t="shared" si="0"/>
        <v>14991.547224999998</v>
      </c>
      <c r="O18" s="19">
        <f t="shared" si="5"/>
        <v>94.225472249999981</v>
      </c>
      <c r="P18" s="19">
        <f>500</f>
        <v>500</v>
      </c>
      <c r="Q18" s="19">
        <f t="shared" si="4"/>
        <v>659.57830574999991</v>
      </c>
      <c r="R18" s="11">
        <f t="shared" si="1"/>
        <v>659.57830574999991</v>
      </c>
      <c r="S18" s="19">
        <v>1668.4423912599998</v>
      </c>
      <c r="T18" s="21"/>
      <c r="U18" s="22"/>
      <c r="V18" s="22"/>
      <c r="W18" s="22"/>
      <c r="X18" s="16">
        <f t="shared" si="2"/>
        <v>3581.8244750099993</v>
      </c>
      <c r="Y18" s="17">
        <f t="shared" si="3"/>
        <v>11409.72274999</v>
      </c>
    </row>
    <row r="19" spans="2:25" x14ac:dyDescent="0.25">
      <c r="B19" s="7" t="s">
        <v>60</v>
      </c>
      <c r="C19" s="8" t="s">
        <v>36</v>
      </c>
      <c r="D19" s="9">
        <v>2</v>
      </c>
      <c r="E19" s="10">
        <f>7675.6365*1.025</f>
        <v>7867.5274124999987</v>
      </c>
      <c r="F19" s="12">
        <v>1133</v>
      </c>
      <c r="G19" s="12">
        <v>1133</v>
      </c>
      <c r="H19" s="12">
        <v>1133</v>
      </c>
      <c r="I19" s="12">
        <v>1000</v>
      </c>
      <c r="J19" s="12">
        <v>190</v>
      </c>
      <c r="K19" s="19"/>
      <c r="L19" s="12">
        <v>150</v>
      </c>
      <c r="M19" s="19">
        <v>733</v>
      </c>
      <c r="N19" s="14">
        <f t="shared" si="0"/>
        <v>13339.5274125</v>
      </c>
      <c r="O19" s="19">
        <f t="shared" si="5"/>
        <v>78.675274124999987</v>
      </c>
      <c r="P19" s="19">
        <f>1000</f>
        <v>1000</v>
      </c>
      <c r="Q19" s="19">
        <f t="shared" si="4"/>
        <v>550.72691887499991</v>
      </c>
      <c r="R19" s="11">
        <f t="shared" si="1"/>
        <v>550.72691887499991</v>
      </c>
      <c r="S19" s="19">
        <v>1325.93055931</v>
      </c>
      <c r="T19" s="21"/>
      <c r="U19" s="22"/>
      <c r="V19" s="22"/>
      <c r="W19" s="22"/>
      <c r="X19" s="16">
        <f t="shared" si="2"/>
        <v>3506.0596711849994</v>
      </c>
      <c r="Y19" s="17">
        <f t="shared" si="3"/>
        <v>9833.4677413150002</v>
      </c>
    </row>
    <row r="20" spans="2:25" x14ac:dyDescent="0.25">
      <c r="B20" s="7" t="s">
        <v>60</v>
      </c>
      <c r="C20" s="8" t="s">
        <v>37</v>
      </c>
      <c r="D20" s="9">
        <v>2</v>
      </c>
      <c r="E20" s="10">
        <f>7675.6365*1.025</f>
        <v>7867.5274124999987</v>
      </c>
      <c r="F20" s="12">
        <v>1133</v>
      </c>
      <c r="G20" s="12">
        <v>1133</v>
      </c>
      <c r="H20" s="12">
        <v>1133</v>
      </c>
      <c r="I20" s="12">
        <v>1000</v>
      </c>
      <c r="J20" s="12">
        <v>190</v>
      </c>
      <c r="K20" s="19"/>
      <c r="L20" s="12">
        <v>150</v>
      </c>
      <c r="M20" s="19">
        <v>733</v>
      </c>
      <c r="N20" s="14">
        <f t="shared" si="0"/>
        <v>13339.5274125</v>
      </c>
      <c r="O20" s="19">
        <f t="shared" si="5"/>
        <v>78.675274124999987</v>
      </c>
      <c r="P20" s="19">
        <f>500</f>
        <v>500</v>
      </c>
      <c r="Q20" s="19">
        <f t="shared" si="4"/>
        <v>550.72691887499991</v>
      </c>
      <c r="R20" s="11">
        <f t="shared" si="1"/>
        <v>550.72691887499991</v>
      </c>
      <c r="S20" s="19">
        <v>1325.93055931</v>
      </c>
      <c r="T20" s="21"/>
      <c r="U20" s="22">
        <v>966.64</v>
      </c>
      <c r="V20" s="22">
        <v>1933.28</v>
      </c>
      <c r="W20" s="22">
        <v>1325</v>
      </c>
      <c r="X20" s="16">
        <f t="shared" si="2"/>
        <v>7230.9796711849995</v>
      </c>
      <c r="Y20" s="17">
        <f t="shared" si="3"/>
        <v>6108.5477413150002</v>
      </c>
    </row>
    <row r="21" spans="2:25" ht="22.5" x14ac:dyDescent="0.25">
      <c r="B21" s="7" t="s">
        <v>60</v>
      </c>
      <c r="C21" s="8" t="s">
        <v>38</v>
      </c>
      <c r="D21" s="9"/>
      <c r="E21" s="10">
        <f>7204.1865*1.025</f>
        <v>7384.2911624999988</v>
      </c>
      <c r="F21" s="12">
        <v>1133</v>
      </c>
      <c r="G21" s="12">
        <v>1133</v>
      </c>
      <c r="H21" s="12">
        <v>1133</v>
      </c>
      <c r="I21" s="12">
        <v>1000</v>
      </c>
      <c r="J21" s="12">
        <v>180</v>
      </c>
      <c r="K21" s="19"/>
      <c r="L21" s="12">
        <v>150</v>
      </c>
      <c r="M21" s="19">
        <v>715</v>
      </c>
      <c r="N21" s="14">
        <f t="shared" si="0"/>
        <v>12828.291162499998</v>
      </c>
      <c r="O21" s="19">
        <f t="shared" si="5"/>
        <v>73.842911624999985</v>
      </c>
      <c r="P21" s="19">
        <f>500</f>
        <v>500</v>
      </c>
      <c r="Q21" s="19">
        <f t="shared" si="4"/>
        <v>516.90038137499994</v>
      </c>
      <c r="R21" s="11">
        <f t="shared" si="1"/>
        <v>516.90038137499994</v>
      </c>
      <c r="S21" s="19">
        <v>1219.7208963099997</v>
      </c>
      <c r="T21" s="21"/>
      <c r="U21" s="22"/>
      <c r="V21" s="22"/>
      <c r="W21" s="22"/>
      <c r="X21" s="16">
        <f t="shared" si="2"/>
        <v>2827.3645706849998</v>
      </c>
      <c r="Y21" s="17">
        <f t="shared" si="3"/>
        <v>10000.926591814998</v>
      </c>
    </row>
    <row r="22" spans="2:25" ht="22.5" x14ac:dyDescent="0.25">
      <c r="B22" s="7" t="s">
        <v>60</v>
      </c>
      <c r="C22" s="8" t="s">
        <v>39</v>
      </c>
      <c r="D22" s="9">
        <v>1</v>
      </c>
      <c r="E22" s="10">
        <f>7204.1865*1.025</f>
        <v>7384.2911624999988</v>
      </c>
      <c r="F22" s="12">
        <v>1133</v>
      </c>
      <c r="G22" s="12">
        <v>1133</v>
      </c>
      <c r="H22" s="12">
        <v>1133</v>
      </c>
      <c r="I22" s="12">
        <v>1000</v>
      </c>
      <c r="J22" s="12">
        <v>180</v>
      </c>
      <c r="K22" s="19"/>
      <c r="L22" s="12"/>
      <c r="M22" s="19">
        <v>715</v>
      </c>
      <c r="N22" s="14">
        <f t="shared" si="0"/>
        <v>12678.291162499998</v>
      </c>
      <c r="O22" s="19"/>
      <c r="P22" s="19"/>
      <c r="Q22" s="19">
        <f t="shared" si="4"/>
        <v>516.90038137499994</v>
      </c>
      <c r="R22" s="11">
        <f t="shared" si="1"/>
        <v>516.90038137499994</v>
      </c>
      <c r="S22" s="19">
        <v>1187.6808963099998</v>
      </c>
      <c r="T22" s="21"/>
      <c r="U22" s="22"/>
      <c r="V22" s="22"/>
      <c r="W22" s="22"/>
      <c r="X22" s="16">
        <f t="shared" si="2"/>
        <v>2221.4816590599994</v>
      </c>
      <c r="Y22" s="17">
        <f t="shared" si="3"/>
        <v>10456.809503439999</v>
      </c>
    </row>
    <row r="23" spans="2:25" ht="22.5" x14ac:dyDescent="0.25">
      <c r="B23" s="7" t="s">
        <v>61</v>
      </c>
      <c r="C23" s="8" t="s">
        <v>40</v>
      </c>
      <c r="D23" s="9"/>
      <c r="E23" s="10">
        <f>6069.96</f>
        <v>6069.96</v>
      </c>
      <c r="F23" s="28"/>
      <c r="G23" s="28"/>
      <c r="H23" s="28"/>
      <c r="I23" s="25"/>
      <c r="J23" s="26"/>
      <c r="K23" s="26"/>
      <c r="L23" s="26"/>
      <c r="M23" s="19"/>
      <c r="N23" s="14">
        <f t="shared" si="0"/>
        <v>6069.96</v>
      </c>
      <c r="O23" s="19"/>
      <c r="P23" s="26"/>
      <c r="Q23" s="26"/>
      <c r="R23" s="11"/>
      <c r="S23" s="19">
        <v>527.76699999999994</v>
      </c>
      <c r="T23" s="21"/>
      <c r="U23" s="22"/>
      <c r="V23" s="22"/>
      <c r="W23" s="22"/>
      <c r="X23" s="16">
        <f t="shared" si="2"/>
        <v>527.76699999999994</v>
      </c>
      <c r="Y23" s="17">
        <f t="shared" si="3"/>
        <v>5542.1930000000002</v>
      </c>
    </row>
    <row r="24" spans="2:25" x14ac:dyDescent="0.25">
      <c r="B24" s="7" t="s">
        <v>61</v>
      </c>
      <c r="C24" s="23" t="s">
        <v>41</v>
      </c>
      <c r="D24" s="29"/>
      <c r="E24" s="30">
        <f>3018.5</f>
        <v>3018.5</v>
      </c>
      <c r="F24" s="28"/>
      <c r="G24" s="28"/>
      <c r="H24" s="28"/>
      <c r="I24" s="25"/>
      <c r="J24" s="26"/>
      <c r="K24" s="26"/>
      <c r="L24" s="26"/>
      <c r="M24" s="19"/>
      <c r="N24" s="14">
        <f t="shared" si="0"/>
        <v>3018.5</v>
      </c>
      <c r="O24" s="19"/>
      <c r="P24" s="26"/>
      <c r="Q24" s="26"/>
      <c r="R24" s="11"/>
      <c r="S24" s="19">
        <v>176.47039999999998</v>
      </c>
      <c r="T24" s="21"/>
      <c r="U24" s="22"/>
      <c r="V24" s="22"/>
      <c r="W24" s="22"/>
      <c r="X24" s="16">
        <f t="shared" si="2"/>
        <v>176.47039999999998</v>
      </c>
      <c r="Y24" s="17">
        <f t="shared" si="3"/>
        <v>2842.0295999999998</v>
      </c>
    </row>
    <row r="25" spans="2:25" ht="15.75" thickBot="1" x14ac:dyDescent="0.3">
      <c r="B25" s="31" t="s">
        <v>42</v>
      </c>
      <c r="C25" s="32"/>
      <c r="D25" s="33"/>
      <c r="E25" s="34">
        <f t="shared" ref="E25:T25" si="6">SUM(E4:E24)</f>
        <v>238122.87256449627</v>
      </c>
      <c r="F25" s="34">
        <f t="shared" si="6"/>
        <v>17196</v>
      </c>
      <c r="G25" s="34">
        <f t="shared" si="6"/>
        <v>18096</v>
      </c>
      <c r="H25" s="34">
        <f t="shared" si="6"/>
        <v>17196</v>
      </c>
      <c r="I25" s="34">
        <f t="shared" si="6"/>
        <v>16000</v>
      </c>
      <c r="J25" s="34">
        <f t="shared" si="6"/>
        <v>2310</v>
      </c>
      <c r="K25" s="34">
        <f t="shared" si="6"/>
        <v>4929</v>
      </c>
      <c r="L25" s="34">
        <f t="shared" si="6"/>
        <v>1825</v>
      </c>
      <c r="M25" s="34">
        <f t="shared" si="6"/>
        <v>9862</v>
      </c>
      <c r="N25" s="34">
        <f t="shared" si="6"/>
        <v>325536.87256449624</v>
      </c>
      <c r="O25" s="34">
        <f t="shared" si="6"/>
        <v>1010.0716027499998</v>
      </c>
      <c r="P25" s="34">
        <f t="shared" si="6"/>
        <v>4000</v>
      </c>
      <c r="Q25" s="34">
        <f t="shared" si="6"/>
        <v>8645.9360795147404</v>
      </c>
      <c r="R25" s="34">
        <f t="shared" si="6"/>
        <v>16032.408879514742</v>
      </c>
      <c r="S25" s="34">
        <f t="shared" si="6"/>
        <v>41676.338906069519</v>
      </c>
      <c r="T25" s="34">
        <f t="shared" si="6"/>
        <v>2583</v>
      </c>
      <c r="U25" s="34">
        <f t="shared" ref="U25:W25" si="7">SUM(U4:U24)</f>
        <v>1933.28</v>
      </c>
      <c r="V25" s="34">
        <f t="shared" si="7"/>
        <v>1933.28</v>
      </c>
      <c r="W25" s="34">
        <f t="shared" si="7"/>
        <v>1325</v>
      </c>
      <c r="X25" s="34">
        <f>SUM(X4:X24)</f>
        <v>79139.315467848995</v>
      </c>
      <c r="Y25" s="34">
        <f>SUM(Y4:Y24)</f>
        <v>246397.55709664724</v>
      </c>
    </row>
    <row r="26" spans="2:25" x14ac:dyDescent="0.25"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30" spans="2:25" x14ac:dyDescent="0.25">
      <c r="B30" t="s">
        <v>58</v>
      </c>
      <c r="C30" t="s">
        <v>54</v>
      </c>
    </row>
    <row r="31" spans="2:25" x14ac:dyDescent="0.25">
      <c r="B31" t="s">
        <v>59</v>
      </c>
      <c r="C31" t="s">
        <v>55</v>
      </c>
    </row>
    <row r="32" spans="2:25" x14ac:dyDescent="0.25">
      <c r="B32" t="s">
        <v>60</v>
      </c>
      <c r="C32" t="s">
        <v>62</v>
      </c>
    </row>
    <row r="33" spans="2:3" x14ac:dyDescent="0.25">
      <c r="B33" t="s">
        <v>61</v>
      </c>
      <c r="C33" t="s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"/>
  <sheetViews>
    <sheetView workbookViewId="0">
      <selection activeCell="AA18" sqref="AA18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8" width="10.5703125" customWidth="1"/>
    <col min="9" max="9" width="10.140625" customWidth="1"/>
    <col min="10" max="10" width="9.42578125" bestFit="1" customWidth="1"/>
    <col min="11" max="11" width="9.7109375" customWidth="1"/>
    <col min="12" max="12" width="9" customWidth="1"/>
    <col min="13" max="13" width="8.85546875" customWidth="1"/>
    <col min="14" max="16" width="8.7109375" customWidth="1"/>
    <col min="17" max="17" width="11.5703125" bestFit="1" customWidth="1"/>
    <col min="18" max="18" width="7.42578125" customWidth="1"/>
    <col min="19" max="19" width="8.7109375" bestFit="1" customWidth="1"/>
    <col min="20" max="20" width="9" customWidth="1"/>
    <col min="21" max="22" width="9.5703125" customWidth="1"/>
    <col min="23" max="23" width="10.28515625" bestFit="1" customWidth="1"/>
  </cols>
  <sheetData>
    <row r="2" spans="2:23" ht="19.5" thickBot="1" x14ac:dyDescent="0.3">
      <c r="E2" s="1"/>
      <c r="F2" s="1"/>
      <c r="G2" s="1"/>
      <c r="H2" s="1"/>
      <c r="I2" s="2" t="s">
        <v>92</v>
      </c>
      <c r="J2" s="2"/>
      <c r="K2" s="2"/>
      <c r="L2" s="2"/>
      <c r="M2" s="2"/>
      <c r="N2" s="2"/>
      <c r="O2" s="2"/>
      <c r="P2" s="2"/>
      <c r="Q2" s="2"/>
      <c r="R2" s="2"/>
    </row>
    <row r="3" spans="2:23" ht="48.75" customHeight="1" x14ac:dyDescent="0.25">
      <c r="B3" s="40"/>
      <c r="C3" s="40"/>
      <c r="D3" s="3" t="s">
        <v>1</v>
      </c>
      <c r="E3" s="44" t="s">
        <v>2</v>
      </c>
      <c r="F3" s="55"/>
      <c r="G3" s="55" t="s">
        <v>70</v>
      </c>
      <c r="H3" s="55" t="s">
        <v>71</v>
      </c>
      <c r="I3" s="45" t="s">
        <v>72</v>
      </c>
      <c r="J3" s="45" t="s">
        <v>73</v>
      </c>
      <c r="K3" s="45" t="s">
        <v>51</v>
      </c>
      <c r="L3" s="45" t="s">
        <v>53</v>
      </c>
      <c r="M3" s="45" t="s">
        <v>74</v>
      </c>
      <c r="N3" s="45" t="s">
        <v>67</v>
      </c>
      <c r="O3" s="45" t="s">
        <v>12</v>
      </c>
      <c r="P3" s="45" t="s">
        <v>68</v>
      </c>
      <c r="Q3" s="41"/>
      <c r="R3" s="4" t="s">
        <v>13</v>
      </c>
      <c r="S3" s="4" t="s">
        <v>15</v>
      </c>
      <c r="T3" s="4" t="s">
        <v>16</v>
      </c>
      <c r="U3" s="4" t="s">
        <v>17</v>
      </c>
      <c r="V3" s="42"/>
      <c r="W3" s="43"/>
    </row>
    <row r="4" spans="2:23" s="54" customFormat="1" x14ac:dyDescent="0.25">
      <c r="B4" s="7" t="s">
        <v>58</v>
      </c>
      <c r="C4" s="8" t="s">
        <v>21</v>
      </c>
      <c r="D4" s="9">
        <v>17</v>
      </c>
      <c r="E4" s="10">
        <f>38573.38/2</f>
        <v>19286.689999999999</v>
      </c>
      <c r="F4" s="10">
        <f>+E4*2</f>
        <v>38573.379999999997</v>
      </c>
      <c r="G4" s="10"/>
      <c r="H4" s="10">
        <f>+E4</f>
        <v>19286.689999999999</v>
      </c>
      <c r="I4" s="12"/>
      <c r="J4" s="11">
        <f>((H4/15)*20)-((E4/15)*20)</f>
        <v>0</v>
      </c>
      <c r="K4" s="11">
        <f>((H4/15)*3)-((E4/15)*3)</f>
        <v>0</v>
      </c>
      <c r="L4" s="11"/>
      <c r="M4" s="11"/>
      <c r="N4" s="11"/>
      <c r="O4" s="11"/>
      <c r="P4" s="13"/>
      <c r="Q4" s="14">
        <f t="shared" ref="Q4:Q24" si="0">SUM(I4:P4)+G4</f>
        <v>0</v>
      </c>
      <c r="R4" s="11"/>
      <c r="S4" s="11"/>
      <c r="T4" s="11"/>
      <c r="U4" s="11">
        <v>0</v>
      </c>
      <c r="V4" s="16">
        <f t="shared" ref="V4:V24" si="1">SUM(R4:U4)</f>
        <v>0</v>
      </c>
      <c r="W4" s="17">
        <f t="shared" ref="W4:W24" si="2">+Q4-V4</f>
        <v>0</v>
      </c>
    </row>
    <row r="5" spans="2:23" s="54" customFormat="1" x14ac:dyDescent="0.25">
      <c r="B5" s="7" t="s">
        <v>58</v>
      </c>
      <c r="C5" s="8" t="s">
        <v>22</v>
      </c>
      <c r="D5" s="9">
        <v>14</v>
      </c>
      <c r="E5" s="10">
        <f>14917.51</f>
        <v>14917.51</v>
      </c>
      <c r="F5" s="10">
        <f t="shared" ref="F5:F24" si="3">+E5*2</f>
        <v>29835.02</v>
      </c>
      <c r="G5" s="10"/>
      <c r="H5" s="10">
        <f t="shared" ref="H5:H6" si="4">+E5</f>
        <v>14917.51</v>
      </c>
      <c r="I5" s="12"/>
      <c r="J5" s="11">
        <f t="shared" ref="J5:J6" si="5">((H5/15)*20)-((E5/15)*20)</f>
        <v>0</v>
      </c>
      <c r="K5" s="11">
        <f t="shared" ref="K5:K6" si="6">((H5/15)*3)-((E5/15)*3)</f>
        <v>0</v>
      </c>
      <c r="L5" s="19"/>
      <c r="M5" s="19"/>
      <c r="N5" s="19"/>
      <c r="O5" s="19"/>
      <c r="P5" s="20"/>
      <c r="Q5" s="14">
        <f t="shared" si="0"/>
        <v>0</v>
      </c>
      <c r="R5" s="19"/>
      <c r="S5" s="19"/>
      <c r="T5" s="11"/>
      <c r="U5" s="19">
        <v>0</v>
      </c>
      <c r="V5" s="16">
        <f t="shared" si="1"/>
        <v>0</v>
      </c>
      <c r="W5" s="17">
        <f t="shared" si="2"/>
        <v>0</v>
      </c>
    </row>
    <row r="6" spans="2:23" s="54" customFormat="1" x14ac:dyDescent="0.25">
      <c r="B6" s="7" t="s">
        <v>58</v>
      </c>
      <c r="C6" s="8" t="s">
        <v>23</v>
      </c>
      <c r="D6" s="9">
        <v>14</v>
      </c>
      <c r="E6" s="10">
        <f>14917.51</f>
        <v>14917.51</v>
      </c>
      <c r="F6" s="10">
        <f t="shared" si="3"/>
        <v>29835.02</v>
      </c>
      <c r="G6" s="10"/>
      <c r="H6" s="10">
        <f t="shared" si="4"/>
        <v>14917.51</v>
      </c>
      <c r="I6" s="12"/>
      <c r="J6" s="11">
        <f t="shared" si="5"/>
        <v>0</v>
      </c>
      <c r="K6" s="11">
        <f t="shared" si="6"/>
        <v>0</v>
      </c>
      <c r="L6" s="19"/>
      <c r="M6" s="19"/>
      <c r="N6" s="19"/>
      <c r="O6" s="19"/>
      <c r="P6" s="20"/>
      <c r="Q6" s="14">
        <f t="shared" si="0"/>
        <v>0</v>
      </c>
      <c r="R6" s="19"/>
      <c r="S6" s="19"/>
      <c r="T6" s="11"/>
      <c r="U6" s="19">
        <v>0</v>
      </c>
      <c r="V6" s="16">
        <f t="shared" si="1"/>
        <v>0</v>
      </c>
      <c r="W6" s="17">
        <f t="shared" si="2"/>
        <v>0</v>
      </c>
    </row>
    <row r="7" spans="2:23" s="54" customFormat="1" x14ac:dyDescent="0.25">
      <c r="B7" s="7" t="s">
        <v>59</v>
      </c>
      <c r="C7" s="8" t="s">
        <v>24</v>
      </c>
      <c r="D7" s="9">
        <v>13</v>
      </c>
      <c r="E7" s="10">
        <f>15022.1</f>
        <v>15022.1</v>
      </c>
      <c r="F7" s="10">
        <f t="shared" si="3"/>
        <v>30044.2</v>
      </c>
      <c r="G7" s="10"/>
      <c r="H7" s="10"/>
      <c r="I7" s="12"/>
      <c r="J7" s="19"/>
      <c r="K7" s="19"/>
      <c r="L7" s="19"/>
      <c r="M7" s="19"/>
      <c r="N7" s="19"/>
      <c r="O7" s="19"/>
      <c r="P7" s="20"/>
      <c r="Q7" s="14">
        <f t="shared" si="0"/>
        <v>0</v>
      </c>
      <c r="R7" s="19"/>
      <c r="S7" s="19"/>
      <c r="T7" s="11">
        <f t="shared" ref="T7:T22" si="7">(G7*0.07)</f>
        <v>0</v>
      </c>
      <c r="U7" s="19"/>
      <c r="V7" s="16">
        <f t="shared" si="1"/>
        <v>0</v>
      </c>
      <c r="W7" s="17">
        <f t="shared" si="2"/>
        <v>0</v>
      </c>
    </row>
    <row r="8" spans="2:23" s="54" customFormat="1" ht="15" customHeight="1" x14ac:dyDescent="0.25">
      <c r="B8" s="7" t="s">
        <v>59</v>
      </c>
      <c r="C8" s="8" t="s">
        <v>25</v>
      </c>
      <c r="D8" s="9">
        <v>13</v>
      </c>
      <c r="E8" s="10">
        <f>15022.1</f>
        <v>15022.1</v>
      </c>
      <c r="F8" s="10">
        <f t="shared" si="3"/>
        <v>30044.2</v>
      </c>
      <c r="G8" s="10"/>
      <c r="H8" s="10"/>
      <c r="I8" s="12"/>
      <c r="J8" s="19"/>
      <c r="K8" s="19"/>
      <c r="L8" s="19"/>
      <c r="M8" s="19"/>
      <c r="N8" s="19"/>
      <c r="O8" s="19"/>
      <c r="P8" s="20"/>
      <c r="Q8" s="14">
        <f t="shared" si="0"/>
        <v>0</v>
      </c>
      <c r="R8" s="19"/>
      <c r="S8" s="19"/>
      <c r="T8" s="11">
        <f t="shared" si="7"/>
        <v>0</v>
      </c>
      <c r="U8" s="19"/>
      <c r="V8" s="16">
        <f t="shared" si="1"/>
        <v>0</v>
      </c>
      <c r="W8" s="17">
        <f t="shared" si="2"/>
        <v>0</v>
      </c>
    </row>
    <row r="9" spans="2:23" s="54" customFormat="1" ht="15" customHeight="1" x14ac:dyDescent="0.25">
      <c r="B9" s="7" t="s">
        <v>59</v>
      </c>
      <c r="C9" s="8" t="s">
        <v>26</v>
      </c>
      <c r="D9" s="9">
        <v>13</v>
      </c>
      <c r="E9" s="10">
        <f>15022.1</f>
        <v>15022.1</v>
      </c>
      <c r="F9" s="10">
        <f t="shared" si="3"/>
        <v>30044.2</v>
      </c>
      <c r="G9" s="10"/>
      <c r="H9" s="10"/>
      <c r="I9" s="12"/>
      <c r="J9" s="19"/>
      <c r="K9" s="19"/>
      <c r="L9" s="19"/>
      <c r="M9" s="19"/>
      <c r="N9" s="19"/>
      <c r="O9" s="19"/>
      <c r="P9" s="20"/>
      <c r="Q9" s="14">
        <f t="shared" si="0"/>
        <v>0</v>
      </c>
      <c r="R9" s="19"/>
      <c r="S9" s="19"/>
      <c r="T9" s="11">
        <f t="shared" si="7"/>
        <v>0</v>
      </c>
      <c r="U9" s="19"/>
      <c r="V9" s="16">
        <f t="shared" si="1"/>
        <v>0</v>
      </c>
      <c r="W9" s="17">
        <f t="shared" si="2"/>
        <v>0</v>
      </c>
    </row>
    <row r="10" spans="2:23" s="54" customFormat="1" ht="15" customHeight="1" x14ac:dyDescent="0.25">
      <c r="B10" s="7" t="s">
        <v>59</v>
      </c>
      <c r="C10" s="8" t="s">
        <v>27</v>
      </c>
      <c r="D10" s="9">
        <v>9</v>
      </c>
      <c r="E10" s="10">
        <f>11333.03</f>
        <v>11333.03</v>
      </c>
      <c r="F10" s="10">
        <f t="shared" si="3"/>
        <v>22666.06</v>
      </c>
      <c r="G10" s="10"/>
      <c r="H10" s="10"/>
      <c r="I10" s="12"/>
      <c r="J10" s="19"/>
      <c r="K10" s="19"/>
      <c r="L10" s="19"/>
      <c r="M10" s="19"/>
      <c r="N10" s="19"/>
      <c r="O10" s="19"/>
      <c r="P10" s="20"/>
      <c r="Q10" s="14">
        <f t="shared" si="0"/>
        <v>0</v>
      </c>
      <c r="R10" s="19"/>
      <c r="S10" s="19"/>
      <c r="T10" s="11">
        <f t="shared" si="7"/>
        <v>0</v>
      </c>
      <c r="U10" s="19"/>
      <c r="V10" s="16">
        <f t="shared" si="1"/>
        <v>0</v>
      </c>
      <c r="W10" s="17">
        <f t="shared" si="2"/>
        <v>0</v>
      </c>
    </row>
    <row r="11" spans="2:23" s="54" customFormat="1" ht="15" customHeight="1" x14ac:dyDescent="0.25">
      <c r="B11" s="7" t="s">
        <v>60</v>
      </c>
      <c r="C11" s="8" t="s">
        <v>28</v>
      </c>
      <c r="D11" s="9">
        <v>10</v>
      </c>
      <c r="E11" s="10">
        <f>14753.0937824354*1.025</f>
        <v>15121.921126996283</v>
      </c>
      <c r="F11" s="10">
        <f t="shared" si="3"/>
        <v>30243.842253992567</v>
      </c>
      <c r="G11" s="10">
        <f>(F11*0.02)*10</f>
        <v>6048.7684507985141</v>
      </c>
      <c r="H11" s="10">
        <f>+E11*1.02</f>
        <v>15424.35954953621</v>
      </c>
      <c r="I11" s="12">
        <f>((H11/15)*8)-((E11/15)*8)</f>
        <v>161.30049202129339</v>
      </c>
      <c r="J11" s="19">
        <f>((H11/15)*10)-((E11/15)*10)</f>
        <v>201.62561502661811</v>
      </c>
      <c r="K11" s="11">
        <f>((H11/15)*6)-((E11/15)*6)</f>
        <v>120.97536901596959</v>
      </c>
      <c r="L11" s="12">
        <f>((H11/15)*8)-((E11/15)*8)</f>
        <v>161.30049202129339</v>
      </c>
      <c r="M11" s="19">
        <f>((H11/15)*10)-((E11/15)*10)</f>
        <v>201.62561502661811</v>
      </c>
      <c r="N11" s="19">
        <f t="shared" ref="N11:N22" si="8">((H11/15)*8)-((E11/15)*8)</f>
        <v>161.30049202129339</v>
      </c>
      <c r="O11" s="19">
        <f t="shared" ref="O11:O22" si="9">((H11/15)*3)-((E11/15)*3)</f>
        <v>60.487684507984795</v>
      </c>
      <c r="P11" s="20">
        <f t="shared" ref="P11:P22" si="10">((H11/15)*6)-((E11/15)*6)</f>
        <v>120.97536901596959</v>
      </c>
      <c r="Q11" s="14">
        <f t="shared" si="0"/>
        <v>7238.3595794555549</v>
      </c>
      <c r="R11" s="19"/>
      <c r="S11" s="19">
        <f t="shared" ref="S11:S22" si="11">(G11*0.07)</f>
        <v>423.41379155589601</v>
      </c>
      <c r="T11" s="11">
        <f t="shared" si="7"/>
        <v>423.41379155589601</v>
      </c>
      <c r="U11" s="19">
        <v>470.43539424476421</v>
      </c>
      <c r="V11" s="16">
        <f t="shared" si="1"/>
        <v>1317.2629773565563</v>
      </c>
      <c r="W11" s="17">
        <f t="shared" si="2"/>
        <v>5921.0966020989981</v>
      </c>
    </row>
    <row r="12" spans="2:23" s="54" customFormat="1" ht="15" customHeight="1" x14ac:dyDescent="0.25">
      <c r="B12" s="7" t="s">
        <v>60</v>
      </c>
      <c r="C12" s="8" t="s">
        <v>29</v>
      </c>
      <c r="D12" s="9">
        <v>8</v>
      </c>
      <c r="E12" s="10">
        <f>12779.3925*1.025</f>
        <v>13098.877312499999</v>
      </c>
      <c r="F12" s="10">
        <f t="shared" si="3"/>
        <v>26197.754624999998</v>
      </c>
      <c r="G12" s="10">
        <f t="shared" ref="G12:G22" si="12">(F12*0.02)*10</f>
        <v>5239.5509249999996</v>
      </c>
      <c r="H12" s="10">
        <f t="shared" ref="H12:H22" si="13">+E12*1.02</f>
        <v>13360.854858749999</v>
      </c>
      <c r="I12" s="12">
        <f t="shared" ref="I12:I22" si="14">((H12/15)*8)-((E12/15)*8)</f>
        <v>139.72135800000069</v>
      </c>
      <c r="J12" s="19">
        <f t="shared" ref="J12:J22" si="15">((H12/15)*10)-((E12/15)*10)</f>
        <v>174.65169750000132</v>
      </c>
      <c r="K12" s="11">
        <f t="shared" ref="K12:K22" si="16">((H12/15)*6)-((E12/15)*6)</f>
        <v>104.79101850000006</v>
      </c>
      <c r="L12" s="12">
        <f>((H12/15)*8)-((E12/15)*8)</f>
        <v>139.72135800000069</v>
      </c>
      <c r="M12" s="19">
        <f>((H12/15)*10)-((E12/15)*10)</f>
        <v>174.65169750000132</v>
      </c>
      <c r="N12" s="19">
        <f t="shared" si="8"/>
        <v>139.72135800000069</v>
      </c>
      <c r="O12" s="19">
        <f t="shared" si="9"/>
        <v>52.395509250000032</v>
      </c>
      <c r="P12" s="20">
        <f t="shared" si="10"/>
        <v>104.79101850000006</v>
      </c>
      <c r="Q12" s="14">
        <f t="shared" si="0"/>
        <v>6269.9959402500044</v>
      </c>
      <c r="R12" s="19">
        <f t="shared" ref="R12:R21" si="17">(G12*0.01)</f>
        <v>52.395509249999996</v>
      </c>
      <c r="S12" s="19">
        <f t="shared" si="11"/>
        <v>366.76856475</v>
      </c>
      <c r="T12" s="11">
        <f t="shared" si="7"/>
        <v>366.76856475</v>
      </c>
      <c r="U12" s="19">
        <v>367.85254017600028</v>
      </c>
      <c r="V12" s="16">
        <f t="shared" si="1"/>
        <v>1153.7851789260003</v>
      </c>
      <c r="W12" s="17">
        <f t="shared" si="2"/>
        <v>5116.2107613240041</v>
      </c>
    </row>
    <row r="13" spans="2:23" s="54" customFormat="1" ht="22.5" x14ac:dyDescent="0.25">
      <c r="B13" s="7" t="s">
        <v>60</v>
      </c>
      <c r="C13" s="23" t="s">
        <v>30</v>
      </c>
      <c r="D13" s="24">
        <v>7</v>
      </c>
      <c r="E13" s="10">
        <f>11939.2455*1.025</f>
        <v>12237.7266375</v>
      </c>
      <c r="F13" s="10">
        <f t="shared" si="3"/>
        <v>24475.453275</v>
      </c>
      <c r="G13" s="10">
        <f t="shared" si="12"/>
        <v>4895.090655</v>
      </c>
      <c r="H13" s="10">
        <f t="shared" si="13"/>
        <v>12482.481170250001</v>
      </c>
      <c r="I13" s="12">
        <f t="shared" si="14"/>
        <v>130.53575080000064</v>
      </c>
      <c r="J13" s="19">
        <f t="shared" si="15"/>
        <v>163.16968850000012</v>
      </c>
      <c r="K13" s="11">
        <f t="shared" si="16"/>
        <v>97.901813100001164</v>
      </c>
      <c r="L13" s="12">
        <f t="shared" ref="L13:L22" si="18">((H13/15)*8)-((E13/15)*8)</f>
        <v>130.53575080000064</v>
      </c>
      <c r="M13" s="19">
        <f>((H13/15)*10)-((E13/15)*10)</f>
        <v>163.16968850000012</v>
      </c>
      <c r="N13" s="19">
        <f t="shared" si="8"/>
        <v>130.53575080000064</v>
      </c>
      <c r="O13" s="19">
        <f t="shared" si="9"/>
        <v>48.950906550000582</v>
      </c>
      <c r="P13" s="20">
        <f t="shared" si="10"/>
        <v>97.901813100001164</v>
      </c>
      <c r="Q13" s="14">
        <f t="shared" si="0"/>
        <v>5857.791817150005</v>
      </c>
      <c r="R13" s="19">
        <f t="shared" si="17"/>
        <v>48.950906549999999</v>
      </c>
      <c r="S13" s="19">
        <f t="shared" si="11"/>
        <v>342.65634585000004</v>
      </c>
      <c r="T13" s="11">
        <f t="shared" si="7"/>
        <v>342.65634585000004</v>
      </c>
      <c r="U13" s="19">
        <v>341.4714762976003</v>
      </c>
      <c r="V13" s="16">
        <f t="shared" si="1"/>
        <v>1075.7350745476003</v>
      </c>
      <c r="W13" s="17">
        <f t="shared" si="2"/>
        <v>4782.0567426024045</v>
      </c>
    </row>
    <row r="14" spans="2:23" s="54" customFormat="1" x14ac:dyDescent="0.25">
      <c r="B14" s="7" t="s">
        <v>60</v>
      </c>
      <c r="C14" s="23" t="s">
        <v>31</v>
      </c>
      <c r="D14" s="24">
        <v>7</v>
      </c>
      <c r="E14" s="10">
        <f>11939.2455*1.025</f>
        <v>12237.7266375</v>
      </c>
      <c r="F14" s="10">
        <f t="shared" si="3"/>
        <v>24475.453275</v>
      </c>
      <c r="G14" s="10">
        <f t="shared" si="12"/>
        <v>4895.090655</v>
      </c>
      <c r="H14" s="10">
        <f t="shared" si="13"/>
        <v>12482.481170250001</v>
      </c>
      <c r="I14" s="12">
        <f t="shared" si="14"/>
        <v>130.53575080000064</v>
      </c>
      <c r="J14" s="19">
        <f t="shared" si="15"/>
        <v>163.16968850000012</v>
      </c>
      <c r="K14" s="11">
        <f t="shared" si="16"/>
        <v>97.901813100001164</v>
      </c>
      <c r="L14" s="12">
        <f t="shared" si="18"/>
        <v>130.53575080000064</v>
      </c>
      <c r="M14" s="19">
        <f>((H14/15)*10)-((E14/15)*10)</f>
        <v>163.16968850000012</v>
      </c>
      <c r="N14" s="19">
        <f t="shared" si="8"/>
        <v>130.53575080000064</v>
      </c>
      <c r="O14" s="19">
        <f t="shared" si="9"/>
        <v>48.950906550000582</v>
      </c>
      <c r="P14" s="20">
        <f t="shared" si="10"/>
        <v>97.901813100001164</v>
      </c>
      <c r="Q14" s="14">
        <f t="shared" si="0"/>
        <v>5857.791817150005</v>
      </c>
      <c r="R14" s="19">
        <f t="shared" si="17"/>
        <v>48.950906549999999</v>
      </c>
      <c r="S14" s="19">
        <f t="shared" si="11"/>
        <v>342.65634585000004</v>
      </c>
      <c r="T14" s="11">
        <f t="shared" si="7"/>
        <v>342.65634585000004</v>
      </c>
      <c r="U14" s="19">
        <v>341.4714762976003</v>
      </c>
      <c r="V14" s="16">
        <f t="shared" si="1"/>
        <v>1075.7350745476003</v>
      </c>
      <c r="W14" s="17">
        <f t="shared" si="2"/>
        <v>4782.0567426024045</v>
      </c>
    </row>
    <row r="15" spans="2:23" s="54" customFormat="1" x14ac:dyDescent="0.25">
      <c r="B15" s="7" t="s">
        <v>60</v>
      </c>
      <c r="C15" s="8" t="s">
        <v>32</v>
      </c>
      <c r="D15" s="9">
        <v>5</v>
      </c>
      <c r="E15" s="10">
        <f>10472.385*1.025</f>
        <v>10734.194625</v>
      </c>
      <c r="F15" s="10">
        <f t="shared" si="3"/>
        <v>21468.38925</v>
      </c>
      <c r="G15" s="10">
        <f t="shared" si="12"/>
        <v>4293.67785</v>
      </c>
      <c r="H15" s="10">
        <f t="shared" si="13"/>
        <v>10948.878517500001</v>
      </c>
      <c r="I15" s="12">
        <f t="shared" si="14"/>
        <v>114.49807600000076</v>
      </c>
      <c r="J15" s="19">
        <f t="shared" si="15"/>
        <v>143.12259500000073</v>
      </c>
      <c r="K15" s="11">
        <f t="shared" si="16"/>
        <v>85.873557000000801</v>
      </c>
      <c r="L15" s="12">
        <f t="shared" si="18"/>
        <v>114.49807600000076</v>
      </c>
      <c r="M15" s="19">
        <f t="shared" ref="M15:M22" si="19">((H15/15)*10)-((E15/15)*10)</f>
        <v>143.12259500000073</v>
      </c>
      <c r="N15" s="19">
        <f t="shared" si="8"/>
        <v>114.49807600000076</v>
      </c>
      <c r="O15" s="19">
        <f t="shared" si="9"/>
        <v>42.936778500000401</v>
      </c>
      <c r="P15" s="20">
        <f t="shared" si="10"/>
        <v>85.873557000000801</v>
      </c>
      <c r="Q15" s="14">
        <f t="shared" si="0"/>
        <v>5138.1011605000058</v>
      </c>
      <c r="R15" s="19">
        <f t="shared" si="17"/>
        <v>42.936778500000003</v>
      </c>
      <c r="S15" s="19">
        <f t="shared" si="11"/>
        <v>300.55744950000002</v>
      </c>
      <c r="T15" s="11">
        <f t="shared" si="7"/>
        <v>300.55744950000002</v>
      </c>
      <c r="U15" s="19">
        <v>295.41127427200036</v>
      </c>
      <c r="V15" s="16">
        <f t="shared" si="1"/>
        <v>939.46295177200045</v>
      </c>
      <c r="W15" s="17">
        <f t="shared" si="2"/>
        <v>4198.6382087280053</v>
      </c>
    </row>
    <row r="16" spans="2:23" s="54" customFormat="1" x14ac:dyDescent="0.25">
      <c r="B16" s="7" t="s">
        <v>60</v>
      </c>
      <c r="C16" s="8" t="s">
        <v>33</v>
      </c>
      <c r="D16" s="9">
        <v>5</v>
      </c>
      <c r="E16" s="10">
        <f>10472.385*1.025</f>
        <v>10734.194625</v>
      </c>
      <c r="F16" s="10">
        <f t="shared" si="3"/>
        <v>21468.38925</v>
      </c>
      <c r="G16" s="10">
        <f t="shared" si="12"/>
        <v>4293.67785</v>
      </c>
      <c r="H16" s="10">
        <f t="shared" si="13"/>
        <v>10948.878517500001</v>
      </c>
      <c r="I16" s="12">
        <f t="shared" si="14"/>
        <v>114.49807600000076</v>
      </c>
      <c r="J16" s="19">
        <f t="shared" si="15"/>
        <v>143.12259500000073</v>
      </c>
      <c r="K16" s="11">
        <f t="shared" si="16"/>
        <v>85.873557000000801</v>
      </c>
      <c r="L16" s="12">
        <f t="shared" si="18"/>
        <v>114.49807600000076</v>
      </c>
      <c r="M16" s="19">
        <f t="shared" si="19"/>
        <v>143.12259500000073</v>
      </c>
      <c r="N16" s="19">
        <f t="shared" si="8"/>
        <v>114.49807600000076</v>
      </c>
      <c r="O16" s="19">
        <f t="shared" si="9"/>
        <v>42.936778500000401</v>
      </c>
      <c r="P16" s="20">
        <f t="shared" si="10"/>
        <v>85.873557000000801</v>
      </c>
      <c r="Q16" s="14">
        <f t="shared" si="0"/>
        <v>5138.1011605000058</v>
      </c>
      <c r="R16" s="19">
        <f t="shared" si="17"/>
        <v>42.936778500000003</v>
      </c>
      <c r="S16" s="19">
        <f t="shared" si="11"/>
        <v>300.55744950000002</v>
      </c>
      <c r="T16" s="11">
        <f t="shared" si="7"/>
        <v>300.55744950000002</v>
      </c>
      <c r="U16" s="19">
        <v>295.41127427200036</v>
      </c>
      <c r="V16" s="16">
        <f t="shared" si="1"/>
        <v>939.46295177200045</v>
      </c>
      <c r="W16" s="17">
        <f t="shared" si="2"/>
        <v>4198.6382087280053</v>
      </c>
    </row>
    <row r="17" spans="2:23" s="54" customFormat="1" x14ac:dyDescent="0.25">
      <c r="B17" s="7" t="s">
        <v>60</v>
      </c>
      <c r="C17" s="8" t="s">
        <v>34</v>
      </c>
      <c r="D17" s="9">
        <v>4</v>
      </c>
      <c r="E17" s="10">
        <f>9192.729*1.025</f>
        <v>9422.5472249999984</v>
      </c>
      <c r="F17" s="10">
        <f t="shared" si="3"/>
        <v>18845.094449999997</v>
      </c>
      <c r="G17" s="10">
        <f t="shared" si="12"/>
        <v>3769.0188899999994</v>
      </c>
      <c r="H17" s="10">
        <f t="shared" si="13"/>
        <v>9610.9981694999988</v>
      </c>
      <c r="I17" s="12">
        <f t="shared" si="14"/>
        <v>100.50717040000018</v>
      </c>
      <c r="J17" s="19">
        <f t="shared" si="15"/>
        <v>125.63396300000022</v>
      </c>
      <c r="K17" s="11">
        <f t="shared" si="16"/>
        <v>75.380377800000133</v>
      </c>
      <c r="L17" s="12">
        <f t="shared" si="18"/>
        <v>100.50717040000018</v>
      </c>
      <c r="M17" s="19">
        <f t="shared" si="19"/>
        <v>125.63396300000022</v>
      </c>
      <c r="N17" s="19">
        <f t="shared" si="8"/>
        <v>100.50717040000018</v>
      </c>
      <c r="O17" s="19">
        <f t="shared" si="9"/>
        <v>37.690188900000066</v>
      </c>
      <c r="P17" s="20">
        <f t="shared" si="10"/>
        <v>75.380377800000133</v>
      </c>
      <c r="Q17" s="14">
        <f t="shared" si="0"/>
        <v>4510.2592717000007</v>
      </c>
      <c r="R17" s="19">
        <f t="shared" si="17"/>
        <v>37.690188899999995</v>
      </c>
      <c r="S17" s="19">
        <f t="shared" si="11"/>
        <v>263.83132229999995</v>
      </c>
      <c r="T17" s="11">
        <f t="shared" si="7"/>
        <v>263.83132229999995</v>
      </c>
      <c r="U17" s="19">
        <v>255.22939338880002</v>
      </c>
      <c r="V17" s="16">
        <f t="shared" si="1"/>
        <v>820.58222688879982</v>
      </c>
      <c r="W17" s="17">
        <f t="shared" si="2"/>
        <v>3689.6770448112011</v>
      </c>
    </row>
    <row r="18" spans="2:23" s="54" customFormat="1" x14ac:dyDescent="0.25">
      <c r="B18" s="7" t="s">
        <v>60</v>
      </c>
      <c r="C18" s="8" t="s">
        <v>35</v>
      </c>
      <c r="D18" s="9">
        <v>4</v>
      </c>
      <c r="E18" s="10">
        <f>9192.729*1.025</f>
        <v>9422.5472249999984</v>
      </c>
      <c r="F18" s="10">
        <f t="shared" si="3"/>
        <v>18845.094449999997</v>
      </c>
      <c r="G18" s="10">
        <f t="shared" si="12"/>
        <v>3769.0188899999994</v>
      </c>
      <c r="H18" s="10">
        <f t="shared" si="13"/>
        <v>9610.9981694999988</v>
      </c>
      <c r="I18" s="12">
        <f t="shared" si="14"/>
        <v>100.50717040000018</v>
      </c>
      <c r="J18" s="19">
        <f t="shared" si="15"/>
        <v>125.63396300000022</v>
      </c>
      <c r="K18" s="11">
        <f t="shared" si="16"/>
        <v>75.380377800000133</v>
      </c>
      <c r="L18" s="12">
        <f t="shared" si="18"/>
        <v>100.50717040000018</v>
      </c>
      <c r="M18" s="19">
        <f t="shared" si="19"/>
        <v>125.63396300000022</v>
      </c>
      <c r="N18" s="19">
        <f t="shared" si="8"/>
        <v>100.50717040000018</v>
      </c>
      <c r="O18" s="19">
        <f t="shared" si="9"/>
        <v>37.690188900000066</v>
      </c>
      <c r="P18" s="20">
        <f t="shared" si="10"/>
        <v>75.380377800000133</v>
      </c>
      <c r="Q18" s="14">
        <f t="shared" si="0"/>
        <v>4510.2592717000007</v>
      </c>
      <c r="R18" s="19">
        <f t="shared" si="17"/>
        <v>37.690188899999995</v>
      </c>
      <c r="S18" s="19">
        <f t="shared" si="11"/>
        <v>263.83132229999995</v>
      </c>
      <c r="T18" s="11">
        <f t="shared" si="7"/>
        <v>263.83132229999995</v>
      </c>
      <c r="U18" s="19">
        <v>255.22939338880002</v>
      </c>
      <c r="V18" s="16">
        <f t="shared" si="1"/>
        <v>820.58222688879982</v>
      </c>
      <c r="W18" s="17">
        <f t="shared" si="2"/>
        <v>3689.6770448112011</v>
      </c>
    </row>
    <row r="19" spans="2:23" s="54" customFormat="1" x14ac:dyDescent="0.25">
      <c r="B19" s="7" t="s">
        <v>60</v>
      </c>
      <c r="C19" s="8" t="s">
        <v>36</v>
      </c>
      <c r="D19" s="9">
        <v>2</v>
      </c>
      <c r="E19" s="10">
        <f>7675.6365*1.025</f>
        <v>7867.5274124999987</v>
      </c>
      <c r="F19" s="10">
        <f t="shared" si="3"/>
        <v>15735.054824999997</v>
      </c>
      <c r="G19" s="10">
        <f t="shared" si="12"/>
        <v>3147.0109649999995</v>
      </c>
      <c r="H19" s="10">
        <f t="shared" si="13"/>
        <v>8024.8779607499991</v>
      </c>
      <c r="I19" s="12">
        <f t="shared" si="14"/>
        <v>83.920292400000108</v>
      </c>
      <c r="J19" s="19">
        <f t="shared" si="15"/>
        <v>104.90036550000059</v>
      </c>
      <c r="K19" s="11">
        <f t="shared" si="16"/>
        <v>62.940219299999626</v>
      </c>
      <c r="L19" s="12">
        <f t="shared" si="18"/>
        <v>83.920292400000108</v>
      </c>
      <c r="M19" s="19">
        <f t="shared" si="19"/>
        <v>104.90036550000059</v>
      </c>
      <c r="N19" s="19">
        <f t="shared" si="8"/>
        <v>83.920292400000108</v>
      </c>
      <c r="O19" s="19">
        <f t="shared" si="9"/>
        <v>31.470109649999813</v>
      </c>
      <c r="P19" s="20">
        <f t="shared" si="10"/>
        <v>62.940219299999626</v>
      </c>
      <c r="Q19" s="14">
        <f t="shared" si="0"/>
        <v>3765.9231214500001</v>
      </c>
      <c r="R19" s="19">
        <f t="shared" si="17"/>
        <v>31.470109649999994</v>
      </c>
      <c r="S19" s="19">
        <f t="shared" si="11"/>
        <v>220.29076755</v>
      </c>
      <c r="T19" s="11">
        <f t="shared" si="7"/>
        <v>220.29076755</v>
      </c>
      <c r="U19" s="19">
        <v>207.59187977280001</v>
      </c>
      <c r="V19" s="16">
        <f t="shared" si="1"/>
        <v>679.64352452280002</v>
      </c>
      <c r="W19" s="17">
        <f t="shared" si="2"/>
        <v>3086.2795969272001</v>
      </c>
    </row>
    <row r="20" spans="2:23" s="54" customFormat="1" x14ac:dyDescent="0.25">
      <c r="B20" s="7" t="s">
        <v>60</v>
      </c>
      <c r="C20" s="8" t="s">
        <v>37</v>
      </c>
      <c r="D20" s="9">
        <v>2</v>
      </c>
      <c r="E20" s="10">
        <f>7675.6365*1.025</f>
        <v>7867.5274124999987</v>
      </c>
      <c r="F20" s="10">
        <f t="shared" si="3"/>
        <v>15735.054824999997</v>
      </c>
      <c r="G20" s="10">
        <f t="shared" si="12"/>
        <v>3147.0109649999995</v>
      </c>
      <c r="H20" s="10">
        <f t="shared" si="13"/>
        <v>8024.8779607499991</v>
      </c>
      <c r="I20" s="12">
        <f t="shared" si="14"/>
        <v>83.920292400000108</v>
      </c>
      <c r="J20" s="19">
        <f t="shared" si="15"/>
        <v>104.90036550000059</v>
      </c>
      <c r="K20" s="11">
        <f t="shared" si="16"/>
        <v>62.940219299999626</v>
      </c>
      <c r="L20" s="12">
        <f t="shared" si="18"/>
        <v>83.920292400000108</v>
      </c>
      <c r="M20" s="19">
        <f t="shared" si="19"/>
        <v>104.90036550000059</v>
      </c>
      <c r="N20" s="19">
        <f t="shared" si="8"/>
        <v>83.920292400000108</v>
      </c>
      <c r="O20" s="19">
        <f t="shared" si="9"/>
        <v>31.470109649999813</v>
      </c>
      <c r="P20" s="20">
        <f t="shared" si="10"/>
        <v>62.940219299999626</v>
      </c>
      <c r="Q20" s="14">
        <f t="shared" si="0"/>
        <v>3765.9231214500001</v>
      </c>
      <c r="R20" s="19">
        <f t="shared" si="17"/>
        <v>31.470109649999994</v>
      </c>
      <c r="S20" s="19">
        <f t="shared" si="11"/>
        <v>220.29076755</v>
      </c>
      <c r="T20" s="11">
        <f t="shared" si="7"/>
        <v>220.29076755</v>
      </c>
      <c r="U20" s="19">
        <v>207.59187977280001</v>
      </c>
      <c r="V20" s="16">
        <f t="shared" si="1"/>
        <v>679.64352452280002</v>
      </c>
      <c r="W20" s="17">
        <f t="shared" si="2"/>
        <v>3086.2795969272001</v>
      </c>
    </row>
    <row r="21" spans="2:23" s="54" customFormat="1" ht="22.5" x14ac:dyDescent="0.25">
      <c r="B21" s="7" t="s">
        <v>60</v>
      </c>
      <c r="C21" s="8" t="s">
        <v>38</v>
      </c>
      <c r="D21" s="9"/>
      <c r="E21" s="10">
        <f>7204.1865*1.025</f>
        <v>7384.2911624999988</v>
      </c>
      <c r="F21" s="10">
        <f t="shared" si="3"/>
        <v>14768.582324999998</v>
      </c>
      <c r="G21" s="10">
        <f t="shared" si="12"/>
        <v>2953.7164649999995</v>
      </c>
      <c r="H21" s="10">
        <f t="shared" si="13"/>
        <v>7531.9769857499987</v>
      </c>
      <c r="I21" s="12">
        <f t="shared" si="14"/>
        <v>78.76577240000006</v>
      </c>
      <c r="J21" s="19">
        <f t="shared" si="15"/>
        <v>98.45721550000053</v>
      </c>
      <c r="K21" s="11">
        <f t="shared" si="16"/>
        <v>59.074329300000045</v>
      </c>
      <c r="L21" s="12">
        <f t="shared" si="18"/>
        <v>78.76577240000006</v>
      </c>
      <c r="M21" s="19">
        <f t="shared" si="19"/>
        <v>98.45721550000053</v>
      </c>
      <c r="N21" s="19">
        <f t="shared" si="8"/>
        <v>78.76577240000006</v>
      </c>
      <c r="O21" s="19">
        <f t="shared" si="9"/>
        <v>29.537164650000022</v>
      </c>
      <c r="P21" s="20">
        <f t="shared" si="10"/>
        <v>59.074329300000045</v>
      </c>
      <c r="Q21" s="14">
        <f t="shared" si="0"/>
        <v>3534.6140364500006</v>
      </c>
      <c r="R21" s="19">
        <f t="shared" si="17"/>
        <v>29.537164649999994</v>
      </c>
      <c r="S21" s="19">
        <f t="shared" si="11"/>
        <v>206.76015254999999</v>
      </c>
      <c r="T21" s="11">
        <f t="shared" si="7"/>
        <v>206.76015254999999</v>
      </c>
      <c r="U21" s="19">
        <v>192.78809833280008</v>
      </c>
      <c r="V21" s="16">
        <f t="shared" si="1"/>
        <v>635.84556808280013</v>
      </c>
      <c r="W21" s="17">
        <f t="shared" si="2"/>
        <v>2898.7684683672005</v>
      </c>
    </row>
    <row r="22" spans="2:23" s="54" customFormat="1" ht="22.5" x14ac:dyDescent="0.25">
      <c r="B22" s="7" t="s">
        <v>60</v>
      </c>
      <c r="C22" s="8" t="s">
        <v>39</v>
      </c>
      <c r="D22" s="9">
        <v>1</v>
      </c>
      <c r="E22" s="10">
        <f>7204.1865*1.025</f>
        <v>7384.2911624999988</v>
      </c>
      <c r="F22" s="10">
        <f t="shared" si="3"/>
        <v>14768.582324999998</v>
      </c>
      <c r="G22" s="10">
        <f t="shared" si="12"/>
        <v>2953.7164649999995</v>
      </c>
      <c r="H22" s="10">
        <f t="shared" si="13"/>
        <v>7531.9769857499987</v>
      </c>
      <c r="I22" s="12">
        <f t="shared" si="14"/>
        <v>78.76577240000006</v>
      </c>
      <c r="J22" s="19">
        <f t="shared" si="15"/>
        <v>98.45721550000053</v>
      </c>
      <c r="K22" s="11">
        <f t="shared" si="16"/>
        <v>59.074329300000045</v>
      </c>
      <c r="L22" s="12">
        <f t="shared" si="18"/>
        <v>78.76577240000006</v>
      </c>
      <c r="M22" s="19">
        <f t="shared" si="19"/>
        <v>98.45721550000053</v>
      </c>
      <c r="N22" s="19">
        <f t="shared" si="8"/>
        <v>78.76577240000006</v>
      </c>
      <c r="O22" s="19">
        <f t="shared" si="9"/>
        <v>29.537164650000022</v>
      </c>
      <c r="P22" s="20">
        <f t="shared" si="10"/>
        <v>59.074329300000045</v>
      </c>
      <c r="Q22" s="14">
        <f t="shared" si="0"/>
        <v>3534.6140364500006</v>
      </c>
      <c r="R22" s="19"/>
      <c r="S22" s="19">
        <f t="shared" si="11"/>
        <v>206.76015254999999</v>
      </c>
      <c r="T22" s="11">
        <f t="shared" si="7"/>
        <v>206.76015254999999</v>
      </c>
      <c r="U22" s="19">
        <v>192.78809833280008</v>
      </c>
      <c r="V22" s="16">
        <f t="shared" si="1"/>
        <v>606.30840343280011</v>
      </c>
      <c r="W22" s="17">
        <f t="shared" si="2"/>
        <v>2928.3056330172003</v>
      </c>
    </row>
    <row r="23" spans="2:23" s="54" customFormat="1" ht="22.5" x14ac:dyDescent="0.25">
      <c r="B23" s="7" t="s">
        <v>61</v>
      </c>
      <c r="C23" s="8" t="s">
        <v>40</v>
      </c>
      <c r="D23" s="9"/>
      <c r="E23" s="30">
        <f>3018.5</f>
        <v>3018.5</v>
      </c>
      <c r="F23" s="10">
        <f t="shared" si="3"/>
        <v>6037</v>
      </c>
      <c r="G23" s="30"/>
      <c r="H23" s="30"/>
      <c r="I23" s="25"/>
      <c r="J23" s="25"/>
      <c r="K23" s="11"/>
      <c r="L23" s="25"/>
      <c r="M23" s="26"/>
      <c r="N23" s="25"/>
      <c r="O23" s="26"/>
      <c r="P23" s="27"/>
      <c r="Q23" s="14">
        <f t="shared" si="0"/>
        <v>0</v>
      </c>
      <c r="R23" s="19"/>
      <c r="S23" s="26"/>
      <c r="T23" s="11"/>
      <c r="U23" s="19"/>
      <c r="V23" s="16">
        <f t="shared" si="1"/>
        <v>0</v>
      </c>
      <c r="W23" s="17">
        <f t="shared" si="2"/>
        <v>0</v>
      </c>
    </row>
    <row r="24" spans="2:23" x14ac:dyDescent="0.25">
      <c r="B24" s="7" t="s">
        <v>61</v>
      </c>
      <c r="C24" s="23" t="s">
        <v>41</v>
      </c>
      <c r="D24" s="29"/>
      <c r="E24" s="30">
        <f>3018.5</f>
        <v>3018.5</v>
      </c>
      <c r="F24" s="10">
        <f t="shared" si="3"/>
        <v>6037</v>
      </c>
      <c r="G24" s="30"/>
      <c r="H24" s="30"/>
      <c r="I24" s="25"/>
      <c r="J24" s="25"/>
      <c r="K24" s="11"/>
      <c r="L24" s="25"/>
      <c r="M24" s="26"/>
      <c r="N24" s="25"/>
      <c r="O24" s="26"/>
      <c r="P24" s="26"/>
      <c r="Q24" s="14">
        <f t="shared" si="0"/>
        <v>0</v>
      </c>
      <c r="R24" s="19"/>
      <c r="S24" s="26"/>
      <c r="T24" s="11"/>
      <c r="U24" s="26"/>
      <c r="V24" s="16">
        <f t="shared" si="1"/>
        <v>0</v>
      </c>
      <c r="W24" s="17">
        <f t="shared" si="2"/>
        <v>0</v>
      </c>
    </row>
    <row r="25" spans="2:23" ht="15.75" thickBot="1" x14ac:dyDescent="0.3">
      <c r="B25" s="31" t="s">
        <v>42</v>
      </c>
      <c r="C25" s="32"/>
      <c r="D25" s="33"/>
      <c r="E25" s="34">
        <f t="shared" ref="E25:W25" si="20">SUM(E4:E24)</f>
        <v>235071.41256449628</v>
      </c>
      <c r="F25" s="34">
        <f t="shared" si="20"/>
        <v>470142.82512899255</v>
      </c>
      <c r="G25" s="34">
        <f t="shared" si="20"/>
        <v>49405.34902579851</v>
      </c>
      <c r="H25" s="34">
        <f t="shared" si="20"/>
        <v>175105.35001578619</v>
      </c>
      <c r="I25" s="34">
        <f t="shared" si="20"/>
        <v>1317.4759740212976</v>
      </c>
      <c r="J25" s="34">
        <f t="shared" si="20"/>
        <v>1646.8449675266238</v>
      </c>
      <c r="K25" s="34">
        <f t="shared" si="20"/>
        <v>988.10698051597319</v>
      </c>
      <c r="L25" s="34">
        <f t="shared" si="20"/>
        <v>1317.4759740212976</v>
      </c>
      <c r="M25" s="34">
        <f t="shared" si="20"/>
        <v>1646.8449675266238</v>
      </c>
      <c r="N25" s="34">
        <f t="shared" si="20"/>
        <v>1317.4759740212976</v>
      </c>
      <c r="O25" s="34">
        <f t="shared" si="20"/>
        <v>494.0534902579866</v>
      </c>
      <c r="P25" s="34">
        <f t="shared" si="20"/>
        <v>988.10698051597319</v>
      </c>
      <c r="Q25" s="34">
        <f t="shared" si="20"/>
        <v>59121.734334205597</v>
      </c>
      <c r="R25" s="34">
        <f t="shared" si="20"/>
        <v>404.02864109999996</v>
      </c>
      <c r="S25" s="34">
        <f t="shared" si="20"/>
        <v>3458.3744318058962</v>
      </c>
      <c r="T25" s="34">
        <f t="shared" si="20"/>
        <v>3458.3744318058962</v>
      </c>
      <c r="U25" s="34">
        <f t="shared" si="20"/>
        <v>3423.2721785487656</v>
      </c>
      <c r="V25" s="34">
        <f t="shared" si="20"/>
        <v>10744.049683260559</v>
      </c>
      <c r="W25" s="34">
        <f t="shared" si="20"/>
        <v>48377.684650945012</v>
      </c>
    </row>
    <row r="26" spans="2:23" x14ac:dyDescent="0.25"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2:23" x14ac:dyDescent="0.25">
      <c r="E27" s="36"/>
      <c r="F27" s="36"/>
      <c r="G27" s="36"/>
      <c r="H27" s="36"/>
      <c r="Q27" s="18"/>
      <c r="W27" s="18"/>
    </row>
    <row r="29" spans="2:23" x14ac:dyDescent="0.25">
      <c r="B29" t="s">
        <v>58</v>
      </c>
      <c r="C29" t="s">
        <v>54</v>
      </c>
    </row>
    <row r="30" spans="2:23" x14ac:dyDescent="0.25">
      <c r="B30" t="s">
        <v>59</v>
      </c>
      <c r="C30" t="s">
        <v>55</v>
      </c>
    </row>
    <row r="31" spans="2:23" x14ac:dyDescent="0.25">
      <c r="B31" t="s">
        <v>60</v>
      </c>
      <c r="C31" t="s">
        <v>62</v>
      </c>
    </row>
    <row r="32" spans="2:23" x14ac:dyDescent="0.25">
      <c r="B32" t="s">
        <v>61</v>
      </c>
      <c r="C3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AGOSTO 1</vt:lpstr>
      <vt:lpstr>AGOSTO 2</vt:lpstr>
      <vt:lpstr>SEPTIEMBRE 1</vt:lpstr>
      <vt:lpstr>SEPTIEMBRE 2</vt:lpstr>
      <vt:lpstr>OCTUBRE 1</vt:lpstr>
      <vt:lpstr>OCTUBRE 2</vt:lpstr>
      <vt:lpstr>NOVIEMBRE 1</vt:lpstr>
      <vt:lpstr>NOVIEMBRE 2</vt:lpstr>
      <vt:lpstr>INCREMENTO </vt:lpstr>
      <vt:lpstr>AGUINALDO</vt:lpstr>
      <vt:lpstr>DICIEMBRE 1</vt:lpstr>
      <vt:lpstr>DICIEMBRE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pueblos indigenas</dc:creator>
  <cp:lastModifiedBy>TRANPARENCIA INDEPI</cp:lastModifiedBy>
  <cp:lastPrinted>2023-07-25T17:51:34Z</cp:lastPrinted>
  <dcterms:created xsi:type="dcterms:W3CDTF">2023-01-18T16:31:17Z</dcterms:created>
  <dcterms:modified xsi:type="dcterms:W3CDTF">2023-12-08T19:43:17Z</dcterms:modified>
</cp:coreProperties>
</file>